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<sst xmlns="http://schemas.openxmlformats.org/spreadsheetml/2006/main" count="478" uniqueCount="241">
  <si>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</si>
  <si>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</si>
  <si>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</si>
  <si>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</si>
  <si>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</si>
  <si>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</si>
  <si>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</si>
  <si>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</si>
  <si>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</si>
  <si>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</si>
  <si>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</si>
  <si>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</si>
  <si>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</si>
  <si>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</si>
  <si>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</si>
  <si>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</si>
  <si>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</si>
  <si>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</si>
  <si>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</si>
  <si>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</si>
  <si>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</si>
  <si>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</si>
  <si>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</si>
  <si>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</si>
  <si>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</si>
  <si>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</si>
  <si>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</si>
  <si>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</si>
  <si>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</si>
  <si>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</si>
  <si>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</si>
  <si>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</si>
  <si>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</si>
  <si>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</si>
  <si>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</si>
  <si>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</si>
  <si>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</si>
  <si>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</si>
  <si>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</si>
  <si>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</si>
  <si>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</si>
  <si>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</si>
  <si>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</si>
  <si>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Poznámka:</t>
  </si>
  <si>
    <t>Kód</t>
  </si>
  <si>
    <t>713</t>
  </si>
  <si>
    <t>713400821R00</t>
  </si>
  <si>
    <t>713400822R00</t>
  </si>
  <si>
    <t>039VD</t>
  </si>
  <si>
    <t>722182006RT2</t>
  </si>
  <si>
    <t>721</t>
  </si>
  <si>
    <t>721176101R00</t>
  </si>
  <si>
    <t>723</t>
  </si>
  <si>
    <t>723160204R00</t>
  </si>
  <si>
    <t>723235115R00</t>
  </si>
  <si>
    <t>042VD</t>
  </si>
  <si>
    <t>040VD</t>
  </si>
  <si>
    <t>731</t>
  </si>
  <si>
    <t>731100809R00</t>
  </si>
  <si>
    <t>731391812R00</t>
  </si>
  <si>
    <t>731202830R00</t>
  </si>
  <si>
    <t>731249128R00</t>
  </si>
  <si>
    <t>041VD</t>
  </si>
  <si>
    <t>043VD</t>
  </si>
  <si>
    <t>046VD</t>
  </si>
  <si>
    <t>045VD</t>
  </si>
  <si>
    <t>044VD</t>
  </si>
  <si>
    <t>732420813R00</t>
  </si>
  <si>
    <t>047VD</t>
  </si>
  <si>
    <t>732</t>
  </si>
  <si>
    <t>732429113R00</t>
  </si>
  <si>
    <t>733</t>
  </si>
  <si>
    <t>733110806R00</t>
  </si>
  <si>
    <t>733110808R00</t>
  </si>
  <si>
    <t>733111115R00</t>
  </si>
  <si>
    <t>733111118R00</t>
  </si>
  <si>
    <t>733190106R00</t>
  </si>
  <si>
    <t>733190108R00</t>
  </si>
  <si>
    <t>734</t>
  </si>
  <si>
    <t>734233125R00</t>
  </si>
  <si>
    <t>734235126R00</t>
  </si>
  <si>
    <t>734295216R00</t>
  </si>
  <si>
    <t>734494111R00</t>
  </si>
  <si>
    <t>734295321R00</t>
  </si>
  <si>
    <t>783</t>
  </si>
  <si>
    <t>783424340R00</t>
  </si>
  <si>
    <t>M21</t>
  </si>
  <si>
    <t>210290814R00</t>
  </si>
  <si>
    <t>048VD</t>
  </si>
  <si>
    <t>049VD</t>
  </si>
  <si>
    <t>Oprava kotelny v objektu ZŠ Louka</t>
  </si>
  <si>
    <t>Vytápění</t>
  </si>
  <si>
    <t>Louka u Litvínova, Husova 163</t>
  </si>
  <si>
    <t>Zkrácený popis</t>
  </si>
  <si>
    <t>Rozměry</t>
  </si>
  <si>
    <t>Izolace tepelné</t>
  </si>
  <si>
    <t>Odstranění izolačních pásů  potrubí</t>
  </si>
  <si>
    <t>Odstranění izolačních pásů z ohybů</t>
  </si>
  <si>
    <t>Pouzdro potrubní izolační 60/40</t>
  </si>
  <si>
    <t>Montáž izol.skruží na potrubí přímé DN 80,sam.spoj</t>
  </si>
  <si>
    <t>Vnitřní kanalizace</t>
  </si>
  <si>
    <t>Potrubí HT připojovací D 32 x 1,8 mm - odvod kondenzátu</t>
  </si>
  <si>
    <t>Vnitřní plynovod</t>
  </si>
  <si>
    <t>Připojení kotle na zemní plyn</t>
  </si>
  <si>
    <t>Kohout kulový,vnitřní-vnitřní z. IVAR.KK G51 DN 40</t>
  </si>
  <si>
    <t>Filtr plynový DN 3/4"</t>
  </si>
  <si>
    <t>Revize plynoinstalace</t>
  </si>
  <si>
    <t>Kotelny</t>
  </si>
  <si>
    <t>Demontáž kotle litinového Viadrus</t>
  </si>
  <si>
    <t>Vypouštění vody z kotlů samospádem do 10 m2</t>
  </si>
  <si>
    <t>Rozřezání kotlů ocelových do 2500 kg</t>
  </si>
  <si>
    <t>Montáž kotle ocel.teplov.,kapalina/plyn do 85 kW</t>
  </si>
  <si>
    <t>Kotel plynový kondenzační stacionární YGNIS CONDENSPACK DUO 160</t>
  </si>
  <si>
    <t>Rotační servopohon pro ventily TG/XBS...</t>
  </si>
  <si>
    <t>Odkouření spalin pro kaskádu kotlů</t>
  </si>
  <si>
    <t>Neutralizační box vč. náplně 8kg</t>
  </si>
  <si>
    <t>Rozšiřující modul pro 2. směšovaný nebo čerpadlový TO</t>
  </si>
  <si>
    <t>Demontáž čerpadel oběhových spirálních DN 50</t>
  </si>
  <si>
    <t>Čerpadlo Yonos Maxo 50/0,5-9</t>
  </si>
  <si>
    <t>Strojovny</t>
  </si>
  <si>
    <t>Montáž čerpadel oběhových spirálních, DN 50</t>
  </si>
  <si>
    <t>Rozvod potrubí</t>
  </si>
  <si>
    <t>Demontáž potrubí ocelového závitového do DN 15-32</t>
  </si>
  <si>
    <t>Demontáž potrubí ocelového závitového do DN 32-50</t>
  </si>
  <si>
    <t>Potrubí závit. bezešvé běžné v kotelnách DN 25</t>
  </si>
  <si>
    <t>Potrubí závit. bezešvé běžné v kotelnách DN 50</t>
  </si>
  <si>
    <t>Tlaková zkouška potrubí  DN 32</t>
  </si>
  <si>
    <t>Tlaková zkouška potrubí  DN 50</t>
  </si>
  <si>
    <t>Armatury</t>
  </si>
  <si>
    <t>Kohout kulový,vnitřní-vnitřní DN 40</t>
  </si>
  <si>
    <t>Kohout kulový,2xvnitřní záv. DN 50</t>
  </si>
  <si>
    <t>Filtr, vnitřní-vnitřní  DN 50</t>
  </si>
  <si>
    <t>Návarky M 12x1,5  délka do 220 mm</t>
  </si>
  <si>
    <t>Kohout kul.vypouštěcí,komplet,GIACOMINI R608 DN 15</t>
  </si>
  <si>
    <t>Nátěry</t>
  </si>
  <si>
    <t>Nátěr syntet. potrubí do DN 50 mm  Z+2x +1x email</t>
  </si>
  <si>
    <t>Elektromontáže</t>
  </si>
  <si>
    <t>Připojení kotlů na napájení elektro,vč. úpravy elektro</t>
  </si>
  <si>
    <t>Ostatní materiál</t>
  </si>
  <si>
    <t>Závěsný a podpůrný materiál</t>
  </si>
  <si>
    <t>Dokumentace skutečného provedení</t>
  </si>
  <si>
    <t>Doba výstavby:</t>
  </si>
  <si>
    <t>Začátek výstavby:</t>
  </si>
  <si>
    <t>Konec výstavby:</t>
  </si>
  <si>
    <t>Zpracováno dne:</t>
  </si>
  <si>
    <t> </t>
  </si>
  <si>
    <t>M.j.</t>
  </si>
  <si>
    <t>m2</t>
  </si>
  <si>
    <t>m</t>
  </si>
  <si>
    <t>soubor</t>
  </si>
  <si>
    <t>kus</t>
  </si>
  <si>
    <t>ks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</si>
  <si>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</si>
  <si>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</si>
  <si>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</si>
  <si>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</si>
  <si>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</si>
  <si>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</si>
  <si>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</si>
  <si>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Obec Louka u Litvínova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</si>
  <si>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</si>
  <si>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</si>
  <si>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</si>
  <si>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</si>
  <si>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</si>
  <si>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</si>
  <si>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</si>
  <si>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</si>
  <si>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</si>
  <si>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</si>
  <si>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</si>
  <si>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</si>
  <si>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</si>
  <si>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</si>
  <si>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</si>
  <si>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</si>
  <si>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</si>
  <si>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</si>
  <si>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713_</t>
  </si>
  <si>
    <t>721_</t>
  </si>
  <si>
    <t>723_</t>
  </si>
  <si>
    <t>731_</t>
  </si>
  <si>
    <t>732_</t>
  </si>
  <si>
    <t>733_</t>
  </si>
  <si>
    <t>734_</t>
  </si>
  <si>
    <t>783_</t>
  </si>
  <si>
    <t>M21_</t>
  </si>
  <si>
    <t>Z99999_</t>
  </si>
  <si>
    <t>71_</t>
  </si>
  <si>
    <t>72_</t>
  </si>
  <si>
    <t>73_</t>
  </si>
  <si>
    <t>78_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</si>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</sst>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34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zoomScalePageLayoutView="0" workbookViewId="0" topLeftCell="A1">
      <pane ySplit="11" topLeftCell="A15" activePane="bottomLeft" state="frozen"/>
      <selection pane="topLeft" activeCell="A1" sqref="A1"/>
      <selection pane="bottomLeft" activeCell="C6" sqref="C6:C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1.710937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2.75">
      <c r="A2" s="57" t="s">
        <v>1</v>
      </c>
      <c r="B2" s="58"/>
      <c r="C2" s="61" t="s">
        <v>90</v>
      </c>
      <c r="D2" s="63" t="s">
        <v>141</v>
      </c>
      <c r="E2" s="58"/>
      <c r="F2" s="63" t="s">
        <v>6</v>
      </c>
      <c r="G2" s="58"/>
      <c r="H2" s="64" t="s">
        <v>153</v>
      </c>
      <c r="I2" s="64" t="s">
        <v>159</v>
      </c>
      <c r="J2" s="58"/>
      <c r="K2" s="58"/>
      <c r="L2" s="65"/>
      <c r="M2" s="30"/>
    </row>
    <row r="3" spans="1:13" ht="12.75">
      <c r="A3" s="59"/>
      <c r="B3" s="60"/>
      <c r="C3" s="62"/>
      <c r="D3" s="60"/>
      <c r="E3" s="60"/>
      <c r="F3" s="60"/>
      <c r="G3" s="60"/>
      <c r="H3" s="60"/>
      <c r="I3" s="60"/>
      <c r="J3" s="60"/>
      <c r="K3" s="60"/>
      <c r="L3" s="66"/>
      <c r="M3" s="30"/>
    </row>
    <row r="4" spans="1:13" ht="12.75">
      <c r="A4" s="67" t="s">
        <v>2</v>
      </c>
      <c r="B4" s="60"/>
      <c r="C4" s="68" t="s">
        <v>91</v>
      </c>
      <c r="D4" s="69" t="s">
        <v>142</v>
      </c>
      <c r="E4" s="60"/>
      <c r="F4" s="69" t="s">
        <v>145</v>
      </c>
      <c r="G4" s="60"/>
      <c r="H4" s="68" t="s">
        <v>154</v>
      </c>
      <c r="I4" s="70"/>
      <c r="J4" s="60"/>
      <c r="K4" s="60"/>
      <c r="L4" s="66"/>
      <c r="M4" s="30"/>
    </row>
    <row r="5" spans="1:13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6"/>
      <c r="M5" s="30"/>
    </row>
    <row r="6" spans="1:13" ht="12.75">
      <c r="A6" s="67" t="s">
        <v>3</v>
      </c>
      <c r="B6" s="60"/>
      <c r="C6" s="68" t="s">
        <v>92</v>
      </c>
      <c r="D6" s="69" t="s">
        <v>143</v>
      </c>
      <c r="E6" s="60"/>
      <c r="F6" s="69" t="s">
        <v>145</v>
      </c>
      <c r="G6" s="60"/>
      <c r="H6" s="68" t="s">
        <v>155</v>
      </c>
      <c r="I6" s="68"/>
      <c r="J6" s="60"/>
      <c r="K6" s="60"/>
      <c r="L6" s="66"/>
      <c r="M6" s="30"/>
    </row>
    <row r="7" spans="1:13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6"/>
      <c r="M7" s="30"/>
    </row>
    <row r="8" spans="1:13" ht="12.75">
      <c r="A8" s="67" t="s">
        <v>4</v>
      </c>
      <c r="B8" s="60"/>
      <c r="C8" s="70"/>
      <c r="D8" s="69" t="s">
        <v>144</v>
      </c>
      <c r="E8" s="60"/>
      <c r="F8" s="69"/>
      <c r="G8" s="60"/>
      <c r="H8" s="68" t="s">
        <v>156</v>
      </c>
      <c r="I8" s="68"/>
      <c r="J8" s="60"/>
      <c r="K8" s="60"/>
      <c r="L8" s="66"/>
      <c r="M8" s="30"/>
    </row>
    <row r="9" spans="1:13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M9" s="30"/>
    </row>
    <row r="10" spans="1:13" ht="12.75">
      <c r="A10" s="1" t="s">
        <v>5</v>
      </c>
      <c r="B10" s="10" t="s">
        <v>44</v>
      </c>
      <c r="C10" s="74" t="s">
        <v>93</v>
      </c>
      <c r="D10" s="75"/>
      <c r="E10" s="76"/>
      <c r="F10" s="10" t="s">
        <v>146</v>
      </c>
      <c r="G10" s="14" t="s">
        <v>152</v>
      </c>
      <c r="H10" s="18" t="s">
        <v>157</v>
      </c>
      <c r="I10" s="77" t="s">
        <v>160</v>
      </c>
      <c r="J10" s="78"/>
      <c r="K10" s="79"/>
      <c r="L10" s="23" t="s">
        <v>165</v>
      </c>
      <c r="M10" s="31"/>
    </row>
    <row r="11" spans="1:62" ht="12.75">
      <c r="A11" s="2" t="s">
        <v>6</v>
      </c>
      <c r="B11" s="11" t="s">
        <v>6</v>
      </c>
      <c r="C11" s="80" t="s">
        <v>94</v>
      </c>
      <c r="D11" s="81"/>
      <c r="E11" s="82"/>
      <c r="F11" s="11" t="s">
        <v>6</v>
      </c>
      <c r="G11" s="11" t="s">
        <v>6</v>
      </c>
      <c r="H11" s="19" t="s">
        <v>158</v>
      </c>
      <c r="I11" s="20" t="s">
        <v>161</v>
      </c>
      <c r="J11" s="21" t="s">
        <v>163</v>
      </c>
      <c r="K11" s="22" t="s">
        <v>164</v>
      </c>
      <c r="L11" s="24" t="s">
        <v>166</v>
      </c>
      <c r="M11" s="31"/>
      <c r="Z11" s="28" t="s">
        <v>168</v>
      </c>
      <c r="AA11" s="28" t="s">
        <v>169</v>
      </c>
      <c r="AB11" s="28" t="s">
        <v>170</v>
      </c>
      <c r="AC11" s="28" t="s">
        <v>171</v>
      </c>
      <c r="AD11" s="28" t="s">
        <v>172</v>
      </c>
      <c r="AE11" s="28" t="s">
        <v>173</v>
      </c>
      <c r="AF11" s="28" t="s">
        <v>174</v>
      </c>
      <c r="AG11" s="28" t="s">
        <v>175</v>
      </c>
      <c r="AH11" s="28" t="s">
        <v>176</v>
      </c>
      <c r="BH11" s="28" t="s">
        <v>195</v>
      </c>
      <c r="BI11" s="28" t="s">
        <v>196</v>
      </c>
      <c r="BJ11" s="28" t="s">
        <v>197</v>
      </c>
    </row>
    <row r="12" spans="1:47" ht="12.75">
      <c r="A12" s="3"/>
      <c r="B12" s="12" t="s">
        <v>45</v>
      </c>
      <c r="C12" s="83" t="s">
        <v>95</v>
      </c>
      <c r="D12" s="84"/>
      <c r="E12" s="84"/>
      <c r="F12" s="3" t="s">
        <v>6</v>
      </c>
      <c r="G12" s="3" t="s">
        <v>6</v>
      </c>
      <c r="H12" s="3" t="s">
        <v>6</v>
      </c>
      <c r="I12" s="34">
        <f>SUM(I13:I16)</f>
        <v>0</v>
      </c>
      <c r="J12" s="34">
        <f>SUM(J13:J16)</f>
        <v>0</v>
      </c>
      <c r="K12" s="34">
        <f>SUM(K13:K16)</f>
        <v>0</v>
      </c>
      <c r="L12" s="25"/>
      <c r="AI12" s="28"/>
      <c r="AS12" s="35">
        <f>SUM(AJ13:AJ16)</f>
        <v>0</v>
      </c>
      <c r="AT12" s="35">
        <f>SUM(AK13:AK16)</f>
        <v>0</v>
      </c>
      <c r="AU12" s="35">
        <f>SUM(AL13:AL16)</f>
        <v>0</v>
      </c>
    </row>
    <row r="13" spans="1:62" ht="12.75">
      <c r="A13" s="4" t="s">
        <v>7</v>
      </c>
      <c r="B13" s="4" t="s">
        <v>46</v>
      </c>
      <c r="C13" s="85" t="s">
        <v>96</v>
      </c>
      <c r="D13" s="86"/>
      <c r="E13" s="86"/>
      <c r="F13" s="4" t="s">
        <v>147</v>
      </c>
      <c r="G13" s="15">
        <v>6</v>
      </c>
      <c r="H13" s="15">
        <v>0</v>
      </c>
      <c r="I13" s="15">
        <f>G13*AO13</f>
        <v>0</v>
      </c>
      <c r="J13" s="15">
        <f>G13*AP13</f>
        <v>0</v>
      </c>
      <c r="K13" s="15">
        <f>G13*H13</f>
        <v>0</v>
      </c>
      <c r="L13" s="26" t="s">
        <v>167</v>
      </c>
      <c r="Z13" s="32">
        <f>IF(AQ13="5",BJ13,0)</f>
        <v>0</v>
      </c>
      <c r="AB13" s="32">
        <f>IF(AQ13="1",BH13,0)</f>
        <v>0</v>
      </c>
      <c r="AC13" s="32">
        <f>IF(AQ13="1",BI13,0)</f>
        <v>0</v>
      </c>
      <c r="AD13" s="32">
        <f>IF(AQ13="7",BH13,0)</f>
        <v>0</v>
      </c>
      <c r="AE13" s="32">
        <f>IF(AQ13="7",BI13,0)</f>
        <v>0</v>
      </c>
      <c r="AF13" s="32">
        <f>IF(AQ13="2",BH13,0)</f>
        <v>0</v>
      </c>
      <c r="AG13" s="32">
        <f>IF(AQ13="2",BI13,0)</f>
        <v>0</v>
      </c>
      <c r="AH13" s="32">
        <f>IF(AQ13="0",BJ13,0)</f>
        <v>0</v>
      </c>
      <c r="AI13" s="28"/>
      <c r="AJ13" s="15">
        <f>IF(AN13=0,K13,0)</f>
        <v>0</v>
      </c>
      <c r="AK13" s="15">
        <f>IF(AN13=15,K13,0)</f>
        <v>0</v>
      </c>
      <c r="AL13" s="15">
        <f>IF(AN13=21,K13,0)</f>
        <v>0</v>
      </c>
      <c r="AN13" s="32">
        <v>21</v>
      </c>
      <c r="AO13" s="32">
        <f>H13*0</f>
        <v>0</v>
      </c>
      <c r="AP13" s="32">
        <f>H13*(1-0)</f>
        <v>0</v>
      </c>
      <c r="AQ13" s="26" t="s">
        <v>13</v>
      </c>
      <c r="AV13" s="32">
        <f>AW13+AX13</f>
        <v>0</v>
      </c>
      <c r="AW13" s="32">
        <f>G13*AO13</f>
        <v>0</v>
      </c>
      <c r="AX13" s="32">
        <f>G13*AP13</f>
        <v>0</v>
      </c>
      <c r="AY13" s="33" t="s">
        <v>178</v>
      </c>
      <c r="AZ13" s="33" t="s">
        <v>188</v>
      </c>
      <c r="BA13" s="28" t="s">
        <v>194</v>
      </c>
      <c r="BC13" s="32">
        <f>AW13+AX13</f>
        <v>0</v>
      </c>
      <c r="BD13" s="32">
        <f>H13/(100-BE13)*100</f>
        <v>0</v>
      </c>
      <c r="BE13" s="32">
        <v>0</v>
      </c>
      <c r="BF13" s="32">
        <f>13</f>
        <v>13</v>
      </c>
      <c r="BH13" s="15">
        <f>G13*AO13</f>
        <v>0</v>
      </c>
      <c r="BI13" s="15">
        <f>G13*AP13</f>
        <v>0</v>
      </c>
      <c r="BJ13" s="15">
        <f>G13*H13</f>
        <v>0</v>
      </c>
    </row>
    <row r="14" spans="1:62" ht="12.75">
      <c r="A14" s="4" t="s">
        <v>8</v>
      </c>
      <c r="B14" s="4" t="s">
        <v>47</v>
      </c>
      <c r="C14" s="85" t="s">
        <v>97</v>
      </c>
      <c r="D14" s="86"/>
      <c r="E14" s="86"/>
      <c r="F14" s="4" t="s">
        <v>147</v>
      </c>
      <c r="G14" s="15">
        <v>2</v>
      </c>
      <c r="H14" s="15">
        <v>0</v>
      </c>
      <c r="I14" s="15">
        <f>G14*AO14</f>
        <v>0</v>
      </c>
      <c r="J14" s="15">
        <f>G14*AP14</f>
        <v>0</v>
      </c>
      <c r="K14" s="15">
        <f>G14*H14</f>
        <v>0</v>
      </c>
      <c r="L14" s="26" t="s">
        <v>167</v>
      </c>
      <c r="Z14" s="32">
        <f>IF(AQ14="5",BJ14,0)</f>
        <v>0</v>
      </c>
      <c r="AB14" s="32">
        <f>IF(AQ14="1",BH14,0)</f>
        <v>0</v>
      </c>
      <c r="AC14" s="32">
        <f>IF(AQ14="1",BI14,0)</f>
        <v>0</v>
      </c>
      <c r="AD14" s="32">
        <f>IF(AQ14="7",BH14,0)</f>
        <v>0</v>
      </c>
      <c r="AE14" s="32">
        <f>IF(AQ14="7",BI14,0)</f>
        <v>0</v>
      </c>
      <c r="AF14" s="32">
        <f>IF(AQ14="2",BH14,0)</f>
        <v>0</v>
      </c>
      <c r="AG14" s="32">
        <f>IF(AQ14="2",BI14,0)</f>
        <v>0</v>
      </c>
      <c r="AH14" s="32">
        <f>IF(AQ14="0",BJ14,0)</f>
        <v>0</v>
      </c>
      <c r="AI14" s="28"/>
      <c r="AJ14" s="15">
        <f>IF(AN14=0,K14,0)</f>
        <v>0</v>
      </c>
      <c r="AK14" s="15">
        <f>IF(AN14=15,K14,0)</f>
        <v>0</v>
      </c>
      <c r="AL14" s="15">
        <f>IF(AN14=21,K14,0)</f>
        <v>0</v>
      </c>
      <c r="AN14" s="32">
        <v>21</v>
      </c>
      <c r="AO14" s="32">
        <f>H14*0</f>
        <v>0</v>
      </c>
      <c r="AP14" s="32">
        <f>H14*(1-0)</f>
        <v>0</v>
      </c>
      <c r="AQ14" s="26" t="s">
        <v>13</v>
      </c>
      <c r="AV14" s="32">
        <f>AW14+AX14</f>
        <v>0</v>
      </c>
      <c r="AW14" s="32">
        <f>G14*AO14</f>
        <v>0</v>
      </c>
      <c r="AX14" s="32">
        <f>G14*AP14</f>
        <v>0</v>
      </c>
      <c r="AY14" s="33" t="s">
        <v>178</v>
      </c>
      <c r="AZ14" s="33" t="s">
        <v>188</v>
      </c>
      <c r="BA14" s="28" t="s">
        <v>194</v>
      </c>
      <c r="BC14" s="32">
        <f>AW14+AX14</f>
        <v>0</v>
      </c>
      <c r="BD14" s="32">
        <f>H14/(100-BE14)*100</f>
        <v>0</v>
      </c>
      <c r="BE14" s="32">
        <v>0</v>
      </c>
      <c r="BF14" s="32">
        <f>14</f>
        <v>14</v>
      </c>
      <c r="BH14" s="15">
        <f>G14*AO14</f>
        <v>0</v>
      </c>
      <c r="BI14" s="15">
        <f>G14*AP14</f>
        <v>0</v>
      </c>
      <c r="BJ14" s="15">
        <f>G14*H14</f>
        <v>0</v>
      </c>
    </row>
    <row r="15" spans="1:62" ht="12.75">
      <c r="A15" s="5" t="s">
        <v>9</v>
      </c>
      <c r="B15" s="5" t="s">
        <v>48</v>
      </c>
      <c r="C15" s="87" t="s">
        <v>98</v>
      </c>
      <c r="D15" s="88"/>
      <c r="E15" s="88"/>
      <c r="F15" s="5" t="s">
        <v>148</v>
      </c>
      <c r="G15" s="16">
        <v>15</v>
      </c>
      <c r="H15" s="16">
        <v>0</v>
      </c>
      <c r="I15" s="16">
        <f>G15*AO15</f>
        <v>0</v>
      </c>
      <c r="J15" s="16">
        <f>G15*AP15</f>
        <v>0</v>
      </c>
      <c r="K15" s="16">
        <f>G15*H15</f>
        <v>0</v>
      </c>
      <c r="L15" s="27"/>
      <c r="Z15" s="32">
        <f>IF(AQ15="5",BJ15,0)</f>
        <v>0</v>
      </c>
      <c r="AB15" s="32">
        <f>IF(AQ15="1",BH15,0)</f>
        <v>0</v>
      </c>
      <c r="AC15" s="32">
        <f>IF(AQ15="1",BI15,0)</f>
        <v>0</v>
      </c>
      <c r="AD15" s="32">
        <f>IF(AQ15="7",BH15,0)</f>
        <v>0</v>
      </c>
      <c r="AE15" s="32">
        <f>IF(AQ15="7",BI15,0)</f>
        <v>0</v>
      </c>
      <c r="AF15" s="32">
        <f>IF(AQ15="2",BH15,0)</f>
        <v>0</v>
      </c>
      <c r="AG15" s="32">
        <f>IF(AQ15="2",BI15,0)</f>
        <v>0</v>
      </c>
      <c r="AH15" s="32">
        <f>IF(AQ15="0",BJ15,0)</f>
        <v>0</v>
      </c>
      <c r="AI15" s="28"/>
      <c r="AJ15" s="16">
        <f>IF(AN15=0,K15,0)</f>
        <v>0</v>
      </c>
      <c r="AK15" s="16">
        <f>IF(AN15=15,K15,0)</f>
        <v>0</v>
      </c>
      <c r="AL15" s="16">
        <f>IF(AN15=21,K15,0)</f>
        <v>0</v>
      </c>
      <c r="AN15" s="32">
        <v>21</v>
      </c>
      <c r="AO15" s="32">
        <f>H15*1</f>
        <v>0</v>
      </c>
      <c r="AP15" s="32">
        <f>H15*(1-1)</f>
        <v>0</v>
      </c>
      <c r="AQ15" s="27" t="s">
        <v>13</v>
      </c>
      <c r="AV15" s="32">
        <f>AW15+AX15</f>
        <v>0</v>
      </c>
      <c r="AW15" s="32">
        <f>G15*AO15</f>
        <v>0</v>
      </c>
      <c r="AX15" s="32">
        <f>G15*AP15</f>
        <v>0</v>
      </c>
      <c r="AY15" s="33" t="s">
        <v>178</v>
      </c>
      <c r="AZ15" s="33" t="s">
        <v>188</v>
      </c>
      <c r="BA15" s="28" t="s">
        <v>194</v>
      </c>
      <c r="BC15" s="32">
        <f>AW15+AX15</f>
        <v>0</v>
      </c>
      <c r="BD15" s="32">
        <f>H15/(100-BE15)*100</f>
        <v>0</v>
      </c>
      <c r="BE15" s="32">
        <v>0</v>
      </c>
      <c r="BF15" s="32">
        <f>15</f>
        <v>15</v>
      </c>
      <c r="BH15" s="16">
        <f>G15*AO15</f>
        <v>0</v>
      </c>
      <c r="BI15" s="16">
        <f>G15*AP15</f>
        <v>0</v>
      </c>
      <c r="BJ15" s="16">
        <f>G15*H15</f>
        <v>0</v>
      </c>
    </row>
    <row r="16" spans="1:62" ht="12.75">
      <c r="A16" s="4" t="s">
        <v>10</v>
      </c>
      <c r="B16" s="4" t="s">
        <v>49</v>
      </c>
      <c r="C16" s="85" t="s">
        <v>99</v>
      </c>
      <c r="D16" s="86"/>
      <c r="E16" s="86"/>
      <c r="F16" s="4" t="s">
        <v>148</v>
      </c>
      <c r="G16" s="15">
        <v>15</v>
      </c>
      <c r="H16" s="15">
        <v>0</v>
      </c>
      <c r="I16" s="15">
        <f>G16*AO16</f>
        <v>0</v>
      </c>
      <c r="J16" s="15">
        <f>G16*AP16</f>
        <v>0</v>
      </c>
      <c r="K16" s="15">
        <f>G16*H16</f>
        <v>0</v>
      </c>
      <c r="L16" s="26" t="s">
        <v>167</v>
      </c>
      <c r="Z16" s="32">
        <f>IF(AQ16="5",BJ16,0)</f>
        <v>0</v>
      </c>
      <c r="AB16" s="32">
        <f>IF(AQ16="1",BH16,0)</f>
        <v>0</v>
      </c>
      <c r="AC16" s="32">
        <f>IF(AQ16="1",BI16,0)</f>
        <v>0</v>
      </c>
      <c r="AD16" s="32">
        <f>IF(AQ16="7",BH16,0)</f>
        <v>0</v>
      </c>
      <c r="AE16" s="32">
        <f>IF(AQ16="7",BI16,0)</f>
        <v>0</v>
      </c>
      <c r="AF16" s="32">
        <f>IF(AQ16="2",BH16,0)</f>
        <v>0</v>
      </c>
      <c r="AG16" s="32">
        <f>IF(AQ16="2",BI16,0)</f>
        <v>0</v>
      </c>
      <c r="AH16" s="32">
        <f>IF(AQ16="0",BJ16,0)</f>
        <v>0</v>
      </c>
      <c r="AI16" s="28"/>
      <c r="AJ16" s="15">
        <f>IF(AN16=0,K16,0)</f>
        <v>0</v>
      </c>
      <c r="AK16" s="15">
        <f>IF(AN16=15,K16,0)</f>
        <v>0</v>
      </c>
      <c r="AL16" s="15">
        <f>IF(AN16=21,K16,0)</f>
        <v>0</v>
      </c>
      <c r="AN16" s="32">
        <v>21</v>
      </c>
      <c r="AO16" s="32">
        <f>H16*0</f>
        <v>0</v>
      </c>
      <c r="AP16" s="32">
        <f>H16*(1-0)</f>
        <v>0</v>
      </c>
      <c r="AQ16" s="26" t="s">
        <v>13</v>
      </c>
      <c r="AV16" s="32">
        <f>AW16+AX16</f>
        <v>0</v>
      </c>
      <c r="AW16" s="32">
        <f>G16*AO16</f>
        <v>0</v>
      </c>
      <c r="AX16" s="32">
        <f>G16*AP16</f>
        <v>0</v>
      </c>
      <c r="AY16" s="33" t="s">
        <v>178</v>
      </c>
      <c r="AZ16" s="33" t="s">
        <v>188</v>
      </c>
      <c r="BA16" s="28" t="s">
        <v>194</v>
      </c>
      <c r="BC16" s="32">
        <f>AW16+AX16</f>
        <v>0</v>
      </c>
      <c r="BD16" s="32">
        <f>H16/(100-BE16)*100</f>
        <v>0</v>
      </c>
      <c r="BE16" s="32">
        <v>0</v>
      </c>
      <c r="BF16" s="32">
        <f>16</f>
        <v>16</v>
      </c>
      <c r="BH16" s="15">
        <f>G16*AO16</f>
        <v>0</v>
      </c>
      <c r="BI16" s="15">
        <f>G16*AP16</f>
        <v>0</v>
      </c>
      <c r="BJ16" s="15">
        <f>G16*H16</f>
        <v>0</v>
      </c>
    </row>
    <row r="17" spans="1:47" ht="12.75">
      <c r="A17" s="6"/>
      <c r="B17" s="13" t="s">
        <v>50</v>
      </c>
      <c r="C17" s="89" t="s">
        <v>100</v>
      </c>
      <c r="D17" s="90"/>
      <c r="E17" s="90"/>
      <c r="F17" s="6" t="s">
        <v>6</v>
      </c>
      <c r="G17" s="6" t="s">
        <v>6</v>
      </c>
      <c r="H17" s="6" t="s">
        <v>6</v>
      </c>
      <c r="I17" s="35">
        <f>SUM(I18:I18)</f>
        <v>0</v>
      </c>
      <c r="J17" s="35">
        <f>SUM(J18:J18)</f>
        <v>0</v>
      </c>
      <c r="K17" s="35">
        <f>SUM(K18:K18)</f>
        <v>0</v>
      </c>
      <c r="L17" s="28"/>
      <c r="AI17" s="28"/>
      <c r="AS17" s="35">
        <f>SUM(AJ18:AJ18)</f>
        <v>0</v>
      </c>
      <c r="AT17" s="35">
        <f>SUM(AK18:AK18)</f>
        <v>0</v>
      </c>
      <c r="AU17" s="35">
        <f>SUM(AL18:AL18)</f>
        <v>0</v>
      </c>
    </row>
    <row r="18" spans="1:62" ht="12.75">
      <c r="A18" s="4" t="s">
        <v>11</v>
      </c>
      <c r="B18" s="4" t="s">
        <v>51</v>
      </c>
      <c r="C18" s="85" t="s">
        <v>101</v>
      </c>
      <c r="D18" s="86"/>
      <c r="E18" s="86"/>
      <c r="F18" s="4" t="s">
        <v>148</v>
      </c>
      <c r="G18" s="15">
        <v>4</v>
      </c>
      <c r="H18" s="15">
        <v>0</v>
      </c>
      <c r="I18" s="15">
        <f>G18*AO18</f>
        <v>0</v>
      </c>
      <c r="J18" s="15">
        <f>G18*AP18</f>
        <v>0</v>
      </c>
      <c r="K18" s="15">
        <f>G18*H18</f>
        <v>0</v>
      </c>
      <c r="L18" s="26" t="s">
        <v>167</v>
      </c>
      <c r="Z18" s="32">
        <f>IF(AQ18="5",BJ18,0)</f>
        <v>0</v>
      </c>
      <c r="AB18" s="32">
        <f>IF(AQ18="1",BH18,0)</f>
        <v>0</v>
      </c>
      <c r="AC18" s="32">
        <f>IF(AQ18="1",BI18,0)</f>
        <v>0</v>
      </c>
      <c r="AD18" s="32">
        <f>IF(AQ18="7",BH18,0)</f>
        <v>0</v>
      </c>
      <c r="AE18" s="32">
        <f>IF(AQ18="7",BI18,0)</f>
        <v>0</v>
      </c>
      <c r="AF18" s="32">
        <f>IF(AQ18="2",BH18,0)</f>
        <v>0</v>
      </c>
      <c r="AG18" s="32">
        <f>IF(AQ18="2",BI18,0)</f>
        <v>0</v>
      </c>
      <c r="AH18" s="32">
        <f>IF(AQ18="0",BJ18,0)</f>
        <v>0</v>
      </c>
      <c r="AI18" s="28"/>
      <c r="AJ18" s="15">
        <f>IF(AN18=0,K18,0)</f>
        <v>0</v>
      </c>
      <c r="AK18" s="15">
        <f>IF(AN18=15,K18,0)</f>
        <v>0</v>
      </c>
      <c r="AL18" s="15">
        <f>IF(AN18=21,K18,0)</f>
        <v>0</v>
      </c>
      <c r="AN18" s="32">
        <v>21</v>
      </c>
      <c r="AO18" s="32">
        <f>H18*0.39220618556701</f>
        <v>0</v>
      </c>
      <c r="AP18" s="32">
        <f>H18*(1-0.39220618556701)</f>
        <v>0</v>
      </c>
      <c r="AQ18" s="26" t="s">
        <v>13</v>
      </c>
      <c r="AV18" s="32">
        <f>AW18+AX18</f>
        <v>0</v>
      </c>
      <c r="AW18" s="32">
        <f>G18*AO18</f>
        <v>0</v>
      </c>
      <c r="AX18" s="32">
        <f>G18*AP18</f>
        <v>0</v>
      </c>
      <c r="AY18" s="33" t="s">
        <v>179</v>
      </c>
      <c r="AZ18" s="33" t="s">
        <v>189</v>
      </c>
      <c r="BA18" s="28" t="s">
        <v>194</v>
      </c>
      <c r="BC18" s="32">
        <f>AW18+AX18</f>
        <v>0</v>
      </c>
      <c r="BD18" s="32">
        <f>H18/(100-BE18)*100</f>
        <v>0</v>
      </c>
      <c r="BE18" s="32">
        <v>0</v>
      </c>
      <c r="BF18" s="32">
        <f>18</f>
        <v>18</v>
      </c>
      <c r="BH18" s="15">
        <f>G18*AO18</f>
        <v>0</v>
      </c>
      <c r="BI18" s="15">
        <f>G18*AP18</f>
        <v>0</v>
      </c>
      <c r="BJ18" s="15">
        <f>G18*H18</f>
        <v>0</v>
      </c>
    </row>
    <row r="19" spans="1:47" ht="12.75">
      <c r="A19" s="6"/>
      <c r="B19" s="13" t="s">
        <v>52</v>
      </c>
      <c r="C19" s="89" t="s">
        <v>102</v>
      </c>
      <c r="D19" s="90"/>
      <c r="E19" s="90"/>
      <c r="F19" s="6" t="s">
        <v>6</v>
      </c>
      <c r="G19" s="6" t="s">
        <v>6</v>
      </c>
      <c r="H19" s="6" t="s">
        <v>6</v>
      </c>
      <c r="I19" s="35">
        <f>SUM(I20:I23)</f>
        <v>0</v>
      </c>
      <c r="J19" s="35">
        <f>SUM(J20:J23)</f>
        <v>0</v>
      </c>
      <c r="K19" s="35">
        <f>SUM(K20:K23)</f>
        <v>0</v>
      </c>
      <c r="L19" s="28"/>
      <c r="AI19" s="28"/>
      <c r="AS19" s="35">
        <f>SUM(AJ20:AJ23)</f>
        <v>0</v>
      </c>
      <c r="AT19" s="35">
        <f>SUM(AK20:AK23)</f>
        <v>0</v>
      </c>
      <c r="AU19" s="35">
        <f>SUM(AL20:AL23)</f>
        <v>0</v>
      </c>
    </row>
    <row r="20" spans="1:62" ht="12.75">
      <c r="A20" s="4" t="s">
        <v>12</v>
      </c>
      <c r="B20" s="4" t="s">
        <v>53</v>
      </c>
      <c r="C20" s="85" t="s">
        <v>103</v>
      </c>
      <c r="D20" s="86"/>
      <c r="E20" s="86"/>
      <c r="F20" s="4" t="s">
        <v>149</v>
      </c>
      <c r="G20" s="15">
        <v>2</v>
      </c>
      <c r="H20" s="15">
        <v>0</v>
      </c>
      <c r="I20" s="15">
        <f>G20*AO20</f>
        <v>0</v>
      </c>
      <c r="J20" s="15">
        <f>G20*AP20</f>
        <v>0</v>
      </c>
      <c r="K20" s="15">
        <f>G20*H20</f>
        <v>0</v>
      </c>
      <c r="L20" s="26" t="s">
        <v>167</v>
      </c>
      <c r="Z20" s="32">
        <f>IF(AQ20="5",BJ20,0)</f>
        <v>0</v>
      </c>
      <c r="AB20" s="32">
        <f>IF(AQ20="1",BH20,0)</f>
        <v>0</v>
      </c>
      <c r="AC20" s="32">
        <f>IF(AQ20="1",BI20,0)</f>
        <v>0</v>
      </c>
      <c r="AD20" s="32">
        <f>IF(AQ20="7",BH20,0)</f>
        <v>0</v>
      </c>
      <c r="AE20" s="32">
        <f>IF(AQ20="7",BI20,0)</f>
        <v>0</v>
      </c>
      <c r="AF20" s="32">
        <f>IF(AQ20="2",BH20,0)</f>
        <v>0</v>
      </c>
      <c r="AG20" s="32">
        <f>IF(AQ20="2",BI20,0)</f>
        <v>0</v>
      </c>
      <c r="AH20" s="32">
        <f>IF(AQ20="0",BJ20,0)</f>
        <v>0</v>
      </c>
      <c r="AI20" s="28"/>
      <c r="AJ20" s="15">
        <f>IF(AN20=0,K20,0)</f>
        <v>0</v>
      </c>
      <c r="AK20" s="15">
        <f>IF(AN20=15,K20,0)</f>
        <v>0</v>
      </c>
      <c r="AL20" s="15">
        <f>IF(AN20=21,K20,0)</f>
        <v>0</v>
      </c>
      <c r="AN20" s="32">
        <v>21</v>
      </c>
      <c r="AO20" s="32">
        <f>H20*0.591106215875931</f>
        <v>0</v>
      </c>
      <c r="AP20" s="32">
        <f>H20*(1-0.591106215875931)</f>
        <v>0</v>
      </c>
      <c r="AQ20" s="26" t="s">
        <v>13</v>
      </c>
      <c r="AV20" s="32">
        <f>AW20+AX20</f>
        <v>0</v>
      </c>
      <c r="AW20" s="32">
        <f>G20*AO20</f>
        <v>0</v>
      </c>
      <c r="AX20" s="32">
        <f>G20*AP20</f>
        <v>0</v>
      </c>
      <c r="AY20" s="33" t="s">
        <v>180</v>
      </c>
      <c r="AZ20" s="33" t="s">
        <v>189</v>
      </c>
      <c r="BA20" s="28" t="s">
        <v>194</v>
      </c>
      <c r="BC20" s="32">
        <f>AW20+AX20</f>
        <v>0</v>
      </c>
      <c r="BD20" s="32">
        <f>H20/(100-BE20)*100</f>
        <v>0</v>
      </c>
      <c r="BE20" s="32">
        <v>0</v>
      </c>
      <c r="BF20" s="32">
        <f>20</f>
        <v>20</v>
      </c>
      <c r="BH20" s="15">
        <f>G20*AO20</f>
        <v>0</v>
      </c>
      <c r="BI20" s="15">
        <f>G20*AP20</f>
        <v>0</v>
      </c>
      <c r="BJ20" s="15">
        <f>G20*H20</f>
        <v>0</v>
      </c>
    </row>
    <row r="21" spans="1:62" ht="12.75">
      <c r="A21" s="4" t="s">
        <v>13</v>
      </c>
      <c r="B21" s="4" t="s">
        <v>54</v>
      </c>
      <c r="C21" s="85" t="s">
        <v>104</v>
      </c>
      <c r="D21" s="86"/>
      <c r="E21" s="86"/>
      <c r="F21" s="4" t="s">
        <v>150</v>
      </c>
      <c r="G21" s="15">
        <v>2</v>
      </c>
      <c r="H21" s="15">
        <v>0</v>
      </c>
      <c r="I21" s="15">
        <f>G21*AO21</f>
        <v>0</v>
      </c>
      <c r="J21" s="15">
        <f>G21*AP21</f>
        <v>0</v>
      </c>
      <c r="K21" s="15">
        <f>G21*H21</f>
        <v>0</v>
      </c>
      <c r="L21" s="26" t="s">
        <v>167</v>
      </c>
      <c r="Z21" s="32">
        <f>IF(AQ21="5",BJ21,0)</f>
        <v>0</v>
      </c>
      <c r="AB21" s="32">
        <f>IF(AQ21="1",BH21,0)</f>
        <v>0</v>
      </c>
      <c r="AC21" s="32">
        <f>IF(AQ21="1",BI21,0)</f>
        <v>0</v>
      </c>
      <c r="AD21" s="32">
        <f>IF(AQ21="7",BH21,0)</f>
        <v>0</v>
      </c>
      <c r="AE21" s="32">
        <f>IF(AQ21="7",BI21,0)</f>
        <v>0</v>
      </c>
      <c r="AF21" s="32">
        <f>IF(AQ21="2",BH21,0)</f>
        <v>0</v>
      </c>
      <c r="AG21" s="32">
        <f>IF(AQ21="2",BI21,0)</f>
        <v>0</v>
      </c>
      <c r="AH21" s="32">
        <f>IF(AQ21="0",BJ21,0)</f>
        <v>0</v>
      </c>
      <c r="AI21" s="28"/>
      <c r="AJ21" s="15">
        <f>IF(AN21=0,K21,0)</f>
        <v>0</v>
      </c>
      <c r="AK21" s="15">
        <f>IF(AN21=15,K21,0)</f>
        <v>0</v>
      </c>
      <c r="AL21" s="15">
        <f>IF(AN21=21,K21,0)</f>
        <v>0</v>
      </c>
      <c r="AN21" s="32">
        <v>21</v>
      </c>
      <c r="AO21" s="32">
        <f>H21*0.889406257546393</f>
        <v>0</v>
      </c>
      <c r="AP21" s="32">
        <f>H21*(1-0.889406257546393)</f>
        <v>0</v>
      </c>
      <c r="AQ21" s="26" t="s">
        <v>13</v>
      </c>
      <c r="AV21" s="32">
        <f>AW21+AX21</f>
        <v>0</v>
      </c>
      <c r="AW21" s="32">
        <f>G21*AO21</f>
        <v>0</v>
      </c>
      <c r="AX21" s="32">
        <f>G21*AP21</f>
        <v>0</v>
      </c>
      <c r="AY21" s="33" t="s">
        <v>180</v>
      </c>
      <c r="AZ21" s="33" t="s">
        <v>189</v>
      </c>
      <c r="BA21" s="28" t="s">
        <v>194</v>
      </c>
      <c r="BC21" s="32">
        <f>AW21+AX21</f>
        <v>0</v>
      </c>
      <c r="BD21" s="32">
        <f>H21/(100-BE21)*100</f>
        <v>0</v>
      </c>
      <c r="BE21" s="32">
        <v>0</v>
      </c>
      <c r="BF21" s="32">
        <f>21</f>
        <v>21</v>
      </c>
      <c r="BH21" s="15">
        <f>G21*AO21</f>
        <v>0</v>
      </c>
      <c r="BI21" s="15">
        <f>G21*AP21</f>
        <v>0</v>
      </c>
      <c r="BJ21" s="15">
        <f>G21*H21</f>
        <v>0</v>
      </c>
    </row>
    <row r="22" spans="1:62" ht="12.75">
      <c r="A22" s="5" t="s">
        <v>14</v>
      </c>
      <c r="B22" s="5" t="s">
        <v>55</v>
      </c>
      <c r="C22" s="87" t="s">
        <v>105</v>
      </c>
      <c r="D22" s="88"/>
      <c r="E22" s="88"/>
      <c r="F22" s="5" t="s">
        <v>151</v>
      </c>
      <c r="G22" s="16">
        <v>2</v>
      </c>
      <c r="H22" s="16">
        <v>0</v>
      </c>
      <c r="I22" s="16">
        <f>G22*AO22</f>
        <v>0</v>
      </c>
      <c r="J22" s="16">
        <f>G22*AP22</f>
        <v>0</v>
      </c>
      <c r="K22" s="16">
        <f>G22*H22</f>
        <v>0</v>
      </c>
      <c r="L22" s="27"/>
      <c r="Z22" s="32">
        <f>IF(AQ22="5",BJ22,0)</f>
        <v>0</v>
      </c>
      <c r="AB22" s="32">
        <f>IF(AQ22="1",BH22,0)</f>
        <v>0</v>
      </c>
      <c r="AC22" s="32">
        <f>IF(AQ22="1",BI22,0)</f>
        <v>0</v>
      </c>
      <c r="AD22" s="32">
        <f>IF(AQ22="7",BH22,0)</f>
        <v>0</v>
      </c>
      <c r="AE22" s="32">
        <f>IF(AQ22="7",BI22,0)</f>
        <v>0</v>
      </c>
      <c r="AF22" s="32">
        <f>IF(AQ22="2",BH22,0)</f>
        <v>0</v>
      </c>
      <c r="AG22" s="32">
        <f>IF(AQ22="2",BI22,0)</f>
        <v>0</v>
      </c>
      <c r="AH22" s="32">
        <f>IF(AQ22="0",BJ22,0)</f>
        <v>0</v>
      </c>
      <c r="AI22" s="28"/>
      <c r="AJ22" s="16">
        <f>IF(AN22=0,K22,0)</f>
        <v>0</v>
      </c>
      <c r="AK22" s="16">
        <f>IF(AN22=15,K22,0)</f>
        <v>0</v>
      </c>
      <c r="AL22" s="16">
        <f>IF(AN22=21,K22,0)</f>
        <v>0</v>
      </c>
      <c r="AN22" s="32">
        <v>21</v>
      </c>
      <c r="AO22" s="32">
        <f>H22*1</f>
        <v>0</v>
      </c>
      <c r="AP22" s="32">
        <f>H22*(1-1)</f>
        <v>0</v>
      </c>
      <c r="AQ22" s="27" t="s">
        <v>13</v>
      </c>
      <c r="AV22" s="32">
        <f>AW22+AX22</f>
        <v>0</v>
      </c>
      <c r="AW22" s="32">
        <f>G22*AO22</f>
        <v>0</v>
      </c>
      <c r="AX22" s="32">
        <f>G22*AP22</f>
        <v>0</v>
      </c>
      <c r="AY22" s="33" t="s">
        <v>180</v>
      </c>
      <c r="AZ22" s="33" t="s">
        <v>189</v>
      </c>
      <c r="BA22" s="28" t="s">
        <v>194</v>
      </c>
      <c r="BC22" s="32">
        <f>AW22+AX22</f>
        <v>0</v>
      </c>
      <c r="BD22" s="32">
        <f>H22/(100-BE22)*100</f>
        <v>0</v>
      </c>
      <c r="BE22" s="32">
        <v>0</v>
      </c>
      <c r="BF22" s="32">
        <f>22</f>
        <v>22</v>
      </c>
      <c r="BH22" s="16">
        <f>G22*AO22</f>
        <v>0</v>
      </c>
      <c r="BI22" s="16">
        <f>G22*AP22</f>
        <v>0</v>
      </c>
      <c r="BJ22" s="16">
        <f>G22*H22</f>
        <v>0</v>
      </c>
    </row>
    <row r="23" spans="1:62" ht="12.75">
      <c r="A23" s="5" t="s">
        <v>15</v>
      </c>
      <c r="B23" s="5" t="s">
        <v>56</v>
      </c>
      <c r="C23" s="87" t="s">
        <v>106</v>
      </c>
      <c r="D23" s="88"/>
      <c r="E23" s="88"/>
      <c r="F23" s="5" t="s">
        <v>149</v>
      </c>
      <c r="G23" s="16">
        <v>1</v>
      </c>
      <c r="H23" s="16">
        <v>0</v>
      </c>
      <c r="I23" s="16">
        <f>G23*AO23</f>
        <v>0</v>
      </c>
      <c r="J23" s="16">
        <f>G23*AP23</f>
        <v>0</v>
      </c>
      <c r="K23" s="16">
        <f>G23*H23</f>
        <v>0</v>
      </c>
      <c r="L23" s="27"/>
      <c r="Z23" s="32">
        <f>IF(AQ23="5",BJ23,0)</f>
        <v>0</v>
      </c>
      <c r="AB23" s="32">
        <f>IF(AQ23="1",BH23,0)</f>
        <v>0</v>
      </c>
      <c r="AC23" s="32">
        <f>IF(AQ23="1",BI23,0)</f>
        <v>0</v>
      </c>
      <c r="AD23" s="32">
        <f>IF(AQ23="7",BH23,0)</f>
        <v>0</v>
      </c>
      <c r="AE23" s="32">
        <f>IF(AQ23="7",BI23,0)</f>
        <v>0</v>
      </c>
      <c r="AF23" s="32">
        <f>IF(AQ23="2",BH23,0)</f>
        <v>0</v>
      </c>
      <c r="AG23" s="32">
        <f>IF(AQ23="2",BI23,0)</f>
        <v>0</v>
      </c>
      <c r="AH23" s="32">
        <f>IF(AQ23="0",BJ23,0)</f>
        <v>0</v>
      </c>
      <c r="AI23" s="28"/>
      <c r="AJ23" s="16">
        <f>IF(AN23=0,K23,0)</f>
        <v>0</v>
      </c>
      <c r="AK23" s="16">
        <f>IF(AN23=15,K23,0)</f>
        <v>0</v>
      </c>
      <c r="AL23" s="16">
        <f>IF(AN23=21,K23,0)</f>
        <v>0</v>
      </c>
      <c r="AN23" s="32">
        <v>21</v>
      </c>
      <c r="AO23" s="32">
        <f>H23*1</f>
        <v>0</v>
      </c>
      <c r="AP23" s="32">
        <f>H23*(1-1)</f>
        <v>0</v>
      </c>
      <c r="AQ23" s="27" t="s">
        <v>13</v>
      </c>
      <c r="AV23" s="32">
        <f>AW23+AX23</f>
        <v>0</v>
      </c>
      <c r="AW23" s="32">
        <f>G23*AO23</f>
        <v>0</v>
      </c>
      <c r="AX23" s="32">
        <f>G23*AP23</f>
        <v>0</v>
      </c>
      <c r="AY23" s="33" t="s">
        <v>180</v>
      </c>
      <c r="AZ23" s="33" t="s">
        <v>189</v>
      </c>
      <c r="BA23" s="28" t="s">
        <v>194</v>
      </c>
      <c r="BC23" s="32">
        <f>AW23+AX23</f>
        <v>0</v>
      </c>
      <c r="BD23" s="32">
        <f>H23/(100-BE23)*100</f>
        <v>0</v>
      </c>
      <c r="BE23" s="32">
        <v>0</v>
      </c>
      <c r="BF23" s="32">
        <f>23</f>
        <v>23</v>
      </c>
      <c r="BH23" s="16">
        <f>G23*AO23</f>
        <v>0</v>
      </c>
      <c r="BI23" s="16">
        <f>G23*AP23</f>
        <v>0</v>
      </c>
      <c r="BJ23" s="16">
        <f>G23*H23</f>
        <v>0</v>
      </c>
    </row>
    <row r="24" spans="1:47" ht="12.75">
      <c r="A24" s="6"/>
      <c r="B24" s="13" t="s">
        <v>57</v>
      </c>
      <c r="C24" s="89" t="s">
        <v>107</v>
      </c>
      <c r="D24" s="90"/>
      <c r="E24" s="90"/>
      <c r="F24" s="6" t="s">
        <v>6</v>
      </c>
      <c r="G24" s="6" t="s">
        <v>6</v>
      </c>
      <c r="H24" s="6" t="s">
        <v>6</v>
      </c>
      <c r="I24" s="35">
        <f>SUM(I25:I35)</f>
        <v>0</v>
      </c>
      <c r="J24" s="35">
        <f>SUM(J25:J35)</f>
        <v>0</v>
      </c>
      <c r="K24" s="35">
        <f>SUM(K25:K35)</f>
        <v>0</v>
      </c>
      <c r="L24" s="28"/>
      <c r="AI24" s="28"/>
      <c r="AS24" s="35">
        <f>SUM(AJ25:AJ35)</f>
        <v>0</v>
      </c>
      <c r="AT24" s="35">
        <f>SUM(AK25:AK35)</f>
        <v>0</v>
      </c>
      <c r="AU24" s="35">
        <f>SUM(AL25:AL35)</f>
        <v>0</v>
      </c>
    </row>
    <row r="25" spans="1:62" ht="12.75">
      <c r="A25" s="4" t="s">
        <v>16</v>
      </c>
      <c r="B25" s="4" t="s">
        <v>58</v>
      </c>
      <c r="C25" s="85" t="s">
        <v>108</v>
      </c>
      <c r="D25" s="86"/>
      <c r="E25" s="86"/>
      <c r="F25" s="4" t="s">
        <v>150</v>
      </c>
      <c r="G25" s="15">
        <v>2</v>
      </c>
      <c r="H25" s="15">
        <v>0</v>
      </c>
      <c r="I25" s="15">
        <f aca="true" t="shared" si="0" ref="I25:I35">G25*AO25</f>
        <v>0</v>
      </c>
      <c r="J25" s="15">
        <f aca="true" t="shared" si="1" ref="J25:J35">G25*AP25</f>
        <v>0</v>
      </c>
      <c r="K25" s="15">
        <f aca="true" t="shared" si="2" ref="K25:K35">G25*H25</f>
        <v>0</v>
      </c>
      <c r="L25" s="26" t="s">
        <v>167</v>
      </c>
      <c r="Z25" s="32">
        <f aca="true" t="shared" si="3" ref="Z25:Z35">IF(AQ25="5",BJ25,0)</f>
        <v>0</v>
      </c>
      <c r="AB25" s="32">
        <f aca="true" t="shared" si="4" ref="AB25:AB35">IF(AQ25="1",BH25,0)</f>
        <v>0</v>
      </c>
      <c r="AC25" s="32">
        <f aca="true" t="shared" si="5" ref="AC25:AC35">IF(AQ25="1",BI25,0)</f>
        <v>0</v>
      </c>
      <c r="AD25" s="32">
        <f aca="true" t="shared" si="6" ref="AD25:AD35">IF(AQ25="7",BH25,0)</f>
        <v>0</v>
      </c>
      <c r="AE25" s="32">
        <f aca="true" t="shared" si="7" ref="AE25:AE35">IF(AQ25="7",BI25,0)</f>
        <v>0</v>
      </c>
      <c r="AF25" s="32">
        <f aca="true" t="shared" si="8" ref="AF25:AF35">IF(AQ25="2",BH25,0)</f>
        <v>0</v>
      </c>
      <c r="AG25" s="32">
        <f aca="true" t="shared" si="9" ref="AG25:AG35">IF(AQ25="2",BI25,0)</f>
        <v>0</v>
      </c>
      <c r="AH25" s="32">
        <f aca="true" t="shared" si="10" ref="AH25:AH35">IF(AQ25="0",BJ25,0)</f>
        <v>0</v>
      </c>
      <c r="AI25" s="28"/>
      <c r="AJ25" s="15">
        <f aca="true" t="shared" si="11" ref="AJ25:AJ35">IF(AN25=0,K25,0)</f>
        <v>0</v>
      </c>
      <c r="AK25" s="15">
        <f aca="true" t="shared" si="12" ref="AK25:AK35">IF(AN25=15,K25,0)</f>
        <v>0</v>
      </c>
      <c r="AL25" s="15">
        <f aca="true" t="shared" si="13" ref="AL25:AL35">IF(AN25=21,K25,0)</f>
        <v>0</v>
      </c>
      <c r="AN25" s="32">
        <v>21</v>
      </c>
      <c r="AO25" s="32">
        <f>H25*0.00274445575671728</f>
        <v>0</v>
      </c>
      <c r="AP25" s="32">
        <f>H25*(1-0.00274445575671728)</f>
        <v>0</v>
      </c>
      <c r="AQ25" s="26" t="s">
        <v>13</v>
      </c>
      <c r="AV25" s="32">
        <f aca="true" t="shared" si="14" ref="AV25:AV35">AW25+AX25</f>
        <v>0</v>
      </c>
      <c r="AW25" s="32">
        <f aca="true" t="shared" si="15" ref="AW25:AW35">G25*AO25</f>
        <v>0</v>
      </c>
      <c r="AX25" s="32">
        <f aca="true" t="shared" si="16" ref="AX25:AX35">G25*AP25</f>
        <v>0</v>
      </c>
      <c r="AY25" s="33" t="s">
        <v>181</v>
      </c>
      <c r="AZ25" s="33" t="s">
        <v>190</v>
      </c>
      <c r="BA25" s="28" t="s">
        <v>194</v>
      </c>
      <c r="BC25" s="32">
        <f aca="true" t="shared" si="17" ref="BC25:BC35">AW25+AX25</f>
        <v>0</v>
      </c>
      <c r="BD25" s="32">
        <f aca="true" t="shared" si="18" ref="BD25:BD35">H25/(100-BE25)*100</f>
        <v>0</v>
      </c>
      <c r="BE25" s="32">
        <v>0</v>
      </c>
      <c r="BF25" s="32">
        <f>25</f>
        <v>25</v>
      </c>
      <c r="BH25" s="15">
        <f aca="true" t="shared" si="19" ref="BH25:BH35">G25*AO25</f>
        <v>0</v>
      </c>
      <c r="BI25" s="15">
        <f aca="true" t="shared" si="20" ref="BI25:BI35">G25*AP25</f>
        <v>0</v>
      </c>
      <c r="BJ25" s="15">
        <f aca="true" t="shared" si="21" ref="BJ25:BJ35">G25*H25</f>
        <v>0</v>
      </c>
    </row>
    <row r="26" spans="1:62" ht="12.75">
      <c r="A26" s="4" t="s">
        <v>17</v>
      </c>
      <c r="B26" s="4" t="s">
        <v>59</v>
      </c>
      <c r="C26" s="85" t="s">
        <v>109</v>
      </c>
      <c r="D26" s="86"/>
      <c r="E26" s="86"/>
      <c r="F26" s="4" t="s">
        <v>150</v>
      </c>
      <c r="G26" s="15">
        <v>2</v>
      </c>
      <c r="H26" s="15">
        <v>0</v>
      </c>
      <c r="I26" s="15">
        <f t="shared" si="0"/>
        <v>0</v>
      </c>
      <c r="J26" s="15">
        <f t="shared" si="1"/>
        <v>0</v>
      </c>
      <c r="K26" s="15">
        <f t="shared" si="2"/>
        <v>0</v>
      </c>
      <c r="L26" s="26" t="s">
        <v>167</v>
      </c>
      <c r="Z26" s="32">
        <f t="shared" si="3"/>
        <v>0</v>
      </c>
      <c r="AB26" s="32">
        <f t="shared" si="4"/>
        <v>0</v>
      </c>
      <c r="AC26" s="32">
        <f t="shared" si="5"/>
        <v>0</v>
      </c>
      <c r="AD26" s="32">
        <f t="shared" si="6"/>
        <v>0</v>
      </c>
      <c r="AE26" s="32">
        <f t="shared" si="7"/>
        <v>0</v>
      </c>
      <c r="AF26" s="32">
        <f t="shared" si="8"/>
        <v>0</v>
      </c>
      <c r="AG26" s="32">
        <f t="shared" si="9"/>
        <v>0</v>
      </c>
      <c r="AH26" s="32">
        <f t="shared" si="10"/>
        <v>0</v>
      </c>
      <c r="AI26" s="28"/>
      <c r="AJ26" s="15">
        <f t="shared" si="11"/>
        <v>0</v>
      </c>
      <c r="AK26" s="15">
        <f t="shared" si="12"/>
        <v>0</v>
      </c>
      <c r="AL26" s="15">
        <f t="shared" si="13"/>
        <v>0</v>
      </c>
      <c r="AN26" s="32">
        <v>21</v>
      </c>
      <c r="AO26" s="32">
        <f>H26*0</f>
        <v>0</v>
      </c>
      <c r="AP26" s="32">
        <f>H26*(1-0)</f>
        <v>0</v>
      </c>
      <c r="AQ26" s="26" t="s">
        <v>13</v>
      </c>
      <c r="AV26" s="32">
        <f t="shared" si="14"/>
        <v>0</v>
      </c>
      <c r="AW26" s="32">
        <f t="shared" si="15"/>
        <v>0</v>
      </c>
      <c r="AX26" s="32">
        <f t="shared" si="16"/>
        <v>0</v>
      </c>
      <c r="AY26" s="33" t="s">
        <v>181</v>
      </c>
      <c r="AZ26" s="33" t="s">
        <v>190</v>
      </c>
      <c r="BA26" s="28" t="s">
        <v>194</v>
      </c>
      <c r="BC26" s="32">
        <f t="shared" si="17"/>
        <v>0</v>
      </c>
      <c r="BD26" s="32">
        <f t="shared" si="18"/>
        <v>0</v>
      </c>
      <c r="BE26" s="32">
        <v>0</v>
      </c>
      <c r="BF26" s="32">
        <f>26</f>
        <v>26</v>
      </c>
      <c r="BH26" s="15">
        <f t="shared" si="19"/>
        <v>0</v>
      </c>
      <c r="BI26" s="15">
        <f t="shared" si="20"/>
        <v>0</v>
      </c>
      <c r="BJ26" s="15">
        <f t="shared" si="21"/>
        <v>0</v>
      </c>
    </row>
    <row r="27" spans="1:62" ht="12.75">
      <c r="A27" s="4" t="s">
        <v>18</v>
      </c>
      <c r="B27" s="4" t="s">
        <v>60</v>
      </c>
      <c r="C27" s="85" t="s">
        <v>110</v>
      </c>
      <c r="D27" s="86"/>
      <c r="E27" s="86"/>
      <c r="F27" s="4" t="s">
        <v>150</v>
      </c>
      <c r="G27" s="15">
        <v>2</v>
      </c>
      <c r="H27" s="15">
        <v>0</v>
      </c>
      <c r="I27" s="15">
        <f t="shared" si="0"/>
        <v>0</v>
      </c>
      <c r="J27" s="15">
        <f t="shared" si="1"/>
        <v>0</v>
      </c>
      <c r="K27" s="15">
        <f t="shared" si="2"/>
        <v>0</v>
      </c>
      <c r="L27" s="26" t="s">
        <v>167</v>
      </c>
      <c r="Z27" s="32">
        <f t="shared" si="3"/>
        <v>0</v>
      </c>
      <c r="AB27" s="32">
        <f t="shared" si="4"/>
        <v>0</v>
      </c>
      <c r="AC27" s="32">
        <f t="shared" si="5"/>
        <v>0</v>
      </c>
      <c r="AD27" s="32">
        <f t="shared" si="6"/>
        <v>0</v>
      </c>
      <c r="AE27" s="32">
        <f t="shared" si="7"/>
        <v>0</v>
      </c>
      <c r="AF27" s="32">
        <f t="shared" si="8"/>
        <v>0</v>
      </c>
      <c r="AG27" s="32">
        <f t="shared" si="9"/>
        <v>0</v>
      </c>
      <c r="AH27" s="32">
        <f t="shared" si="10"/>
        <v>0</v>
      </c>
      <c r="AI27" s="28"/>
      <c r="AJ27" s="15">
        <f t="shared" si="11"/>
        <v>0</v>
      </c>
      <c r="AK27" s="15">
        <f t="shared" si="12"/>
        <v>0</v>
      </c>
      <c r="AL27" s="15">
        <f t="shared" si="13"/>
        <v>0</v>
      </c>
      <c r="AN27" s="32">
        <v>21</v>
      </c>
      <c r="AO27" s="32">
        <f>H27*0</f>
        <v>0</v>
      </c>
      <c r="AP27" s="32">
        <f>H27*(1-0)</f>
        <v>0</v>
      </c>
      <c r="AQ27" s="26" t="s">
        <v>13</v>
      </c>
      <c r="AV27" s="32">
        <f t="shared" si="14"/>
        <v>0</v>
      </c>
      <c r="AW27" s="32">
        <f t="shared" si="15"/>
        <v>0</v>
      </c>
      <c r="AX27" s="32">
        <f t="shared" si="16"/>
        <v>0</v>
      </c>
      <c r="AY27" s="33" t="s">
        <v>181</v>
      </c>
      <c r="AZ27" s="33" t="s">
        <v>190</v>
      </c>
      <c r="BA27" s="28" t="s">
        <v>194</v>
      </c>
      <c r="BC27" s="32">
        <f t="shared" si="17"/>
        <v>0</v>
      </c>
      <c r="BD27" s="32">
        <f t="shared" si="18"/>
        <v>0</v>
      </c>
      <c r="BE27" s="32">
        <v>0</v>
      </c>
      <c r="BF27" s="32">
        <f>27</f>
        <v>27</v>
      </c>
      <c r="BH27" s="15">
        <f t="shared" si="19"/>
        <v>0</v>
      </c>
      <c r="BI27" s="15">
        <f t="shared" si="20"/>
        <v>0</v>
      </c>
      <c r="BJ27" s="15">
        <f t="shared" si="21"/>
        <v>0</v>
      </c>
    </row>
    <row r="28" spans="1:62" ht="12.75">
      <c r="A28" s="4" t="s">
        <v>19</v>
      </c>
      <c r="B28" s="4" t="s">
        <v>61</v>
      </c>
      <c r="C28" s="85" t="s">
        <v>111</v>
      </c>
      <c r="D28" s="86"/>
      <c r="E28" s="86"/>
      <c r="F28" s="4" t="s">
        <v>149</v>
      </c>
      <c r="G28" s="15">
        <v>2</v>
      </c>
      <c r="H28" s="15">
        <v>0</v>
      </c>
      <c r="I28" s="15">
        <f t="shared" si="0"/>
        <v>0</v>
      </c>
      <c r="J28" s="15">
        <f t="shared" si="1"/>
        <v>0</v>
      </c>
      <c r="K28" s="15">
        <f t="shared" si="2"/>
        <v>0</v>
      </c>
      <c r="L28" s="26" t="s">
        <v>167</v>
      </c>
      <c r="Z28" s="32">
        <f t="shared" si="3"/>
        <v>0</v>
      </c>
      <c r="AB28" s="32">
        <f t="shared" si="4"/>
        <v>0</v>
      </c>
      <c r="AC28" s="32">
        <f t="shared" si="5"/>
        <v>0</v>
      </c>
      <c r="AD28" s="32">
        <f t="shared" si="6"/>
        <v>0</v>
      </c>
      <c r="AE28" s="32">
        <f t="shared" si="7"/>
        <v>0</v>
      </c>
      <c r="AF28" s="32">
        <f t="shared" si="8"/>
        <v>0</v>
      </c>
      <c r="AG28" s="32">
        <f t="shared" si="9"/>
        <v>0</v>
      </c>
      <c r="AH28" s="32">
        <f t="shared" si="10"/>
        <v>0</v>
      </c>
      <c r="AI28" s="28"/>
      <c r="AJ28" s="15">
        <f t="shared" si="11"/>
        <v>0</v>
      </c>
      <c r="AK28" s="15">
        <f t="shared" si="12"/>
        <v>0</v>
      </c>
      <c r="AL28" s="15">
        <f t="shared" si="13"/>
        <v>0</v>
      </c>
      <c r="AN28" s="32">
        <v>21</v>
      </c>
      <c r="AO28" s="32">
        <f>H28*0.0154509415262636</f>
        <v>0</v>
      </c>
      <c r="AP28" s="32">
        <f>H28*(1-0.0154509415262636)</f>
        <v>0</v>
      </c>
      <c r="AQ28" s="26" t="s">
        <v>13</v>
      </c>
      <c r="AV28" s="32">
        <f t="shared" si="14"/>
        <v>0</v>
      </c>
      <c r="AW28" s="32">
        <f t="shared" si="15"/>
        <v>0</v>
      </c>
      <c r="AX28" s="32">
        <f t="shared" si="16"/>
        <v>0</v>
      </c>
      <c r="AY28" s="33" t="s">
        <v>181</v>
      </c>
      <c r="AZ28" s="33" t="s">
        <v>190</v>
      </c>
      <c r="BA28" s="28" t="s">
        <v>194</v>
      </c>
      <c r="BC28" s="32">
        <f t="shared" si="17"/>
        <v>0</v>
      </c>
      <c r="BD28" s="32">
        <f t="shared" si="18"/>
        <v>0</v>
      </c>
      <c r="BE28" s="32">
        <v>0</v>
      </c>
      <c r="BF28" s="32">
        <f>28</f>
        <v>28</v>
      </c>
      <c r="BH28" s="15">
        <f t="shared" si="19"/>
        <v>0</v>
      </c>
      <c r="BI28" s="15">
        <f t="shared" si="20"/>
        <v>0</v>
      </c>
      <c r="BJ28" s="15">
        <f t="shared" si="21"/>
        <v>0</v>
      </c>
    </row>
    <row r="29" spans="1:62" ht="12.75">
      <c r="A29" s="5" t="s">
        <v>20</v>
      </c>
      <c r="B29" s="5" t="s">
        <v>62</v>
      </c>
      <c r="C29" s="87" t="s">
        <v>112</v>
      </c>
      <c r="D29" s="88"/>
      <c r="E29" s="88"/>
      <c r="F29" s="5" t="s">
        <v>151</v>
      </c>
      <c r="G29" s="16">
        <v>1</v>
      </c>
      <c r="H29" s="16">
        <v>0</v>
      </c>
      <c r="I29" s="16">
        <f t="shared" si="0"/>
        <v>0</v>
      </c>
      <c r="J29" s="16">
        <f t="shared" si="1"/>
        <v>0</v>
      </c>
      <c r="K29" s="16">
        <f t="shared" si="2"/>
        <v>0</v>
      </c>
      <c r="L29" s="27"/>
      <c r="Z29" s="32">
        <f t="shared" si="3"/>
        <v>0</v>
      </c>
      <c r="AB29" s="32">
        <f t="shared" si="4"/>
        <v>0</v>
      </c>
      <c r="AC29" s="32">
        <f t="shared" si="5"/>
        <v>0</v>
      </c>
      <c r="AD29" s="32">
        <f t="shared" si="6"/>
        <v>0</v>
      </c>
      <c r="AE29" s="32">
        <f t="shared" si="7"/>
        <v>0</v>
      </c>
      <c r="AF29" s="32">
        <f t="shared" si="8"/>
        <v>0</v>
      </c>
      <c r="AG29" s="32">
        <f t="shared" si="9"/>
        <v>0</v>
      </c>
      <c r="AH29" s="32">
        <f t="shared" si="10"/>
        <v>0</v>
      </c>
      <c r="AI29" s="28"/>
      <c r="AJ29" s="16">
        <f t="shared" si="11"/>
        <v>0</v>
      </c>
      <c r="AK29" s="16">
        <f t="shared" si="12"/>
        <v>0</v>
      </c>
      <c r="AL29" s="16">
        <f t="shared" si="13"/>
        <v>0</v>
      </c>
      <c r="AN29" s="32">
        <v>21</v>
      </c>
      <c r="AO29" s="32">
        <f>H29*1</f>
        <v>0</v>
      </c>
      <c r="AP29" s="32">
        <f>H29*(1-1)</f>
        <v>0</v>
      </c>
      <c r="AQ29" s="27" t="s">
        <v>13</v>
      </c>
      <c r="AV29" s="32">
        <f t="shared" si="14"/>
        <v>0</v>
      </c>
      <c r="AW29" s="32">
        <f t="shared" si="15"/>
        <v>0</v>
      </c>
      <c r="AX29" s="32">
        <f t="shared" si="16"/>
        <v>0</v>
      </c>
      <c r="AY29" s="33" t="s">
        <v>181</v>
      </c>
      <c r="AZ29" s="33" t="s">
        <v>190</v>
      </c>
      <c r="BA29" s="28" t="s">
        <v>194</v>
      </c>
      <c r="BC29" s="32">
        <f t="shared" si="17"/>
        <v>0</v>
      </c>
      <c r="BD29" s="32">
        <f t="shared" si="18"/>
        <v>0</v>
      </c>
      <c r="BE29" s="32">
        <v>0</v>
      </c>
      <c r="BF29" s="32">
        <f>29</f>
        <v>29</v>
      </c>
      <c r="BH29" s="16">
        <f t="shared" si="19"/>
        <v>0</v>
      </c>
      <c r="BI29" s="16">
        <f t="shared" si="20"/>
        <v>0</v>
      </c>
      <c r="BJ29" s="16">
        <f t="shared" si="21"/>
        <v>0</v>
      </c>
    </row>
    <row r="30" spans="1:62" ht="12.75">
      <c r="A30" s="5" t="s">
        <v>21</v>
      </c>
      <c r="B30" s="5" t="s">
        <v>63</v>
      </c>
      <c r="C30" s="87" t="s">
        <v>113</v>
      </c>
      <c r="D30" s="88"/>
      <c r="E30" s="88"/>
      <c r="F30" s="5" t="s">
        <v>151</v>
      </c>
      <c r="G30" s="16">
        <v>2</v>
      </c>
      <c r="H30" s="16">
        <v>0</v>
      </c>
      <c r="I30" s="16">
        <f t="shared" si="0"/>
        <v>0</v>
      </c>
      <c r="J30" s="16">
        <f t="shared" si="1"/>
        <v>0</v>
      </c>
      <c r="K30" s="16">
        <f t="shared" si="2"/>
        <v>0</v>
      </c>
      <c r="L30" s="27"/>
      <c r="Z30" s="32">
        <f t="shared" si="3"/>
        <v>0</v>
      </c>
      <c r="AB30" s="32">
        <f t="shared" si="4"/>
        <v>0</v>
      </c>
      <c r="AC30" s="32">
        <f t="shared" si="5"/>
        <v>0</v>
      </c>
      <c r="AD30" s="32">
        <f t="shared" si="6"/>
        <v>0</v>
      </c>
      <c r="AE30" s="32">
        <f t="shared" si="7"/>
        <v>0</v>
      </c>
      <c r="AF30" s="32">
        <f t="shared" si="8"/>
        <v>0</v>
      </c>
      <c r="AG30" s="32">
        <f t="shared" si="9"/>
        <v>0</v>
      </c>
      <c r="AH30" s="32">
        <f t="shared" si="10"/>
        <v>0</v>
      </c>
      <c r="AI30" s="28"/>
      <c r="AJ30" s="16">
        <f t="shared" si="11"/>
        <v>0</v>
      </c>
      <c r="AK30" s="16">
        <f t="shared" si="12"/>
        <v>0</v>
      </c>
      <c r="AL30" s="16">
        <f t="shared" si="13"/>
        <v>0</v>
      </c>
      <c r="AN30" s="32">
        <v>21</v>
      </c>
      <c r="AO30" s="32">
        <f>H30*1</f>
        <v>0</v>
      </c>
      <c r="AP30" s="32">
        <f>H30*(1-1)</f>
        <v>0</v>
      </c>
      <c r="AQ30" s="27" t="s">
        <v>13</v>
      </c>
      <c r="AV30" s="32">
        <f t="shared" si="14"/>
        <v>0</v>
      </c>
      <c r="AW30" s="32">
        <f t="shared" si="15"/>
        <v>0</v>
      </c>
      <c r="AX30" s="32">
        <f t="shared" si="16"/>
        <v>0</v>
      </c>
      <c r="AY30" s="33" t="s">
        <v>181</v>
      </c>
      <c r="AZ30" s="33" t="s">
        <v>190</v>
      </c>
      <c r="BA30" s="28" t="s">
        <v>194</v>
      </c>
      <c r="BC30" s="32">
        <f t="shared" si="17"/>
        <v>0</v>
      </c>
      <c r="BD30" s="32">
        <f t="shared" si="18"/>
        <v>0</v>
      </c>
      <c r="BE30" s="32">
        <v>0</v>
      </c>
      <c r="BF30" s="32">
        <f>30</f>
        <v>30</v>
      </c>
      <c r="BH30" s="16">
        <f t="shared" si="19"/>
        <v>0</v>
      </c>
      <c r="BI30" s="16">
        <f t="shared" si="20"/>
        <v>0</v>
      </c>
      <c r="BJ30" s="16">
        <f t="shared" si="21"/>
        <v>0</v>
      </c>
    </row>
    <row r="31" spans="1:62" ht="12.75">
      <c r="A31" s="5" t="s">
        <v>22</v>
      </c>
      <c r="B31" s="5" t="s">
        <v>64</v>
      </c>
      <c r="C31" s="87" t="s">
        <v>114</v>
      </c>
      <c r="D31" s="88"/>
      <c r="E31" s="88"/>
      <c r="F31" s="5" t="s">
        <v>149</v>
      </c>
      <c r="G31" s="16">
        <v>1</v>
      </c>
      <c r="H31" s="16">
        <v>0</v>
      </c>
      <c r="I31" s="16">
        <f t="shared" si="0"/>
        <v>0</v>
      </c>
      <c r="J31" s="16">
        <f t="shared" si="1"/>
        <v>0</v>
      </c>
      <c r="K31" s="16">
        <f t="shared" si="2"/>
        <v>0</v>
      </c>
      <c r="L31" s="27"/>
      <c r="Z31" s="32">
        <f t="shared" si="3"/>
        <v>0</v>
      </c>
      <c r="AB31" s="32">
        <f t="shared" si="4"/>
        <v>0</v>
      </c>
      <c r="AC31" s="32">
        <f t="shared" si="5"/>
        <v>0</v>
      </c>
      <c r="AD31" s="32">
        <f t="shared" si="6"/>
        <v>0</v>
      </c>
      <c r="AE31" s="32">
        <f t="shared" si="7"/>
        <v>0</v>
      </c>
      <c r="AF31" s="32">
        <f t="shared" si="8"/>
        <v>0</v>
      </c>
      <c r="AG31" s="32">
        <f t="shared" si="9"/>
        <v>0</v>
      </c>
      <c r="AH31" s="32">
        <f t="shared" si="10"/>
        <v>0</v>
      </c>
      <c r="AI31" s="28"/>
      <c r="AJ31" s="16">
        <f t="shared" si="11"/>
        <v>0</v>
      </c>
      <c r="AK31" s="16">
        <f t="shared" si="12"/>
        <v>0</v>
      </c>
      <c r="AL31" s="16">
        <f t="shared" si="13"/>
        <v>0</v>
      </c>
      <c r="AN31" s="32">
        <v>21</v>
      </c>
      <c r="AO31" s="32">
        <f>H31*1</f>
        <v>0</v>
      </c>
      <c r="AP31" s="32">
        <f>H31*(1-1)</f>
        <v>0</v>
      </c>
      <c r="AQ31" s="27" t="s">
        <v>13</v>
      </c>
      <c r="AV31" s="32">
        <f t="shared" si="14"/>
        <v>0</v>
      </c>
      <c r="AW31" s="32">
        <f t="shared" si="15"/>
        <v>0</v>
      </c>
      <c r="AX31" s="32">
        <f t="shared" si="16"/>
        <v>0</v>
      </c>
      <c r="AY31" s="33" t="s">
        <v>181</v>
      </c>
      <c r="AZ31" s="33" t="s">
        <v>190</v>
      </c>
      <c r="BA31" s="28" t="s">
        <v>194</v>
      </c>
      <c r="BC31" s="32">
        <f t="shared" si="17"/>
        <v>0</v>
      </c>
      <c r="BD31" s="32">
        <f t="shared" si="18"/>
        <v>0</v>
      </c>
      <c r="BE31" s="32">
        <v>0</v>
      </c>
      <c r="BF31" s="32">
        <f>31</f>
        <v>31</v>
      </c>
      <c r="BH31" s="16">
        <f t="shared" si="19"/>
        <v>0</v>
      </c>
      <c r="BI31" s="16">
        <f t="shared" si="20"/>
        <v>0</v>
      </c>
      <c r="BJ31" s="16">
        <f t="shared" si="21"/>
        <v>0</v>
      </c>
    </row>
    <row r="32" spans="1:62" ht="12.75">
      <c r="A32" s="5" t="s">
        <v>23</v>
      </c>
      <c r="B32" s="5" t="s">
        <v>65</v>
      </c>
      <c r="C32" s="87" t="s">
        <v>115</v>
      </c>
      <c r="D32" s="88"/>
      <c r="E32" s="88"/>
      <c r="F32" s="5" t="s">
        <v>151</v>
      </c>
      <c r="G32" s="16">
        <v>1</v>
      </c>
      <c r="H32" s="16">
        <v>0</v>
      </c>
      <c r="I32" s="16">
        <f t="shared" si="0"/>
        <v>0</v>
      </c>
      <c r="J32" s="16">
        <f t="shared" si="1"/>
        <v>0</v>
      </c>
      <c r="K32" s="16">
        <f t="shared" si="2"/>
        <v>0</v>
      </c>
      <c r="L32" s="27"/>
      <c r="Z32" s="32">
        <f t="shared" si="3"/>
        <v>0</v>
      </c>
      <c r="AB32" s="32">
        <f t="shared" si="4"/>
        <v>0</v>
      </c>
      <c r="AC32" s="32">
        <f t="shared" si="5"/>
        <v>0</v>
      </c>
      <c r="AD32" s="32">
        <f t="shared" si="6"/>
        <v>0</v>
      </c>
      <c r="AE32" s="32">
        <f t="shared" si="7"/>
        <v>0</v>
      </c>
      <c r="AF32" s="32">
        <f t="shared" si="8"/>
        <v>0</v>
      </c>
      <c r="AG32" s="32">
        <f t="shared" si="9"/>
        <v>0</v>
      </c>
      <c r="AH32" s="32">
        <f t="shared" si="10"/>
        <v>0</v>
      </c>
      <c r="AI32" s="28"/>
      <c r="AJ32" s="16">
        <f t="shared" si="11"/>
        <v>0</v>
      </c>
      <c r="AK32" s="16">
        <f t="shared" si="12"/>
        <v>0</v>
      </c>
      <c r="AL32" s="16">
        <f t="shared" si="13"/>
        <v>0</v>
      </c>
      <c r="AN32" s="32">
        <v>21</v>
      </c>
      <c r="AO32" s="32">
        <f>H32*1</f>
        <v>0</v>
      </c>
      <c r="AP32" s="32">
        <f>H32*(1-1)</f>
        <v>0</v>
      </c>
      <c r="AQ32" s="27" t="s">
        <v>13</v>
      </c>
      <c r="AV32" s="32">
        <f t="shared" si="14"/>
        <v>0</v>
      </c>
      <c r="AW32" s="32">
        <f t="shared" si="15"/>
        <v>0</v>
      </c>
      <c r="AX32" s="32">
        <f t="shared" si="16"/>
        <v>0</v>
      </c>
      <c r="AY32" s="33" t="s">
        <v>181</v>
      </c>
      <c r="AZ32" s="33" t="s">
        <v>190</v>
      </c>
      <c r="BA32" s="28" t="s">
        <v>194</v>
      </c>
      <c r="BC32" s="32">
        <f t="shared" si="17"/>
        <v>0</v>
      </c>
      <c r="BD32" s="32">
        <f t="shared" si="18"/>
        <v>0</v>
      </c>
      <c r="BE32" s="32">
        <v>0</v>
      </c>
      <c r="BF32" s="32">
        <f>32</f>
        <v>32</v>
      </c>
      <c r="BH32" s="16">
        <f t="shared" si="19"/>
        <v>0</v>
      </c>
      <c r="BI32" s="16">
        <f t="shared" si="20"/>
        <v>0</v>
      </c>
      <c r="BJ32" s="16">
        <f t="shared" si="21"/>
        <v>0</v>
      </c>
    </row>
    <row r="33" spans="1:62" ht="12.75">
      <c r="A33" s="5" t="s">
        <v>24</v>
      </c>
      <c r="B33" s="5" t="s">
        <v>66</v>
      </c>
      <c r="C33" s="87" t="s">
        <v>116</v>
      </c>
      <c r="D33" s="88"/>
      <c r="E33" s="88"/>
      <c r="F33" s="5" t="s">
        <v>151</v>
      </c>
      <c r="G33" s="16">
        <v>1</v>
      </c>
      <c r="H33" s="16">
        <v>0</v>
      </c>
      <c r="I33" s="16">
        <f t="shared" si="0"/>
        <v>0</v>
      </c>
      <c r="J33" s="16">
        <f t="shared" si="1"/>
        <v>0</v>
      </c>
      <c r="K33" s="16">
        <f t="shared" si="2"/>
        <v>0</v>
      </c>
      <c r="L33" s="27"/>
      <c r="Z33" s="32">
        <f t="shared" si="3"/>
        <v>0</v>
      </c>
      <c r="AB33" s="32">
        <f t="shared" si="4"/>
        <v>0</v>
      </c>
      <c r="AC33" s="32">
        <f t="shared" si="5"/>
        <v>0</v>
      </c>
      <c r="AD33" s="32">
        <f t="shared" si="6"/>
        <v>0</v>
      </c>
      <c r="AE33" s="32">
        <f t="shared" si="7"/>
        <v>0</v>
      </c>
      <c r="AF33" s="32">
        <f t="shared" si="8"/>
        <v>0</v>
      </c>
      <c r="AG33" s="32">
        <f t="shared" si="9"/>
        <v>0</v>
      </c>
      <c r="AH33" s="32">
        <f t="shared" si="10"/>
        <v>0</v>
      </c>
      <c r="AI33" s="28"/>
      <c r="AJ33" s="16">
        <f t="shared" si="11"/>
        <v>0</v>
      </c>
      <c r="AK33" s="16">
        <f t="shared" si="12"/>
        <v>0</v>
      </c>
      <c r="AL33" s="16">
        <f t="shared" si="13"/>
        <v>0</v>
      </c>
      <c r="AN33" s="32">
        <v>21</v>
      </c>
      <c r="AO33" s="32">
        <f>H33*1</f>
        <v>0</v>
      </c>
      <c r="AP33" s="32">
        <f>H33*(1-1)</f>
        <v>0</v>
      </c>
      <c r="AQ33" s="27" t="s">
        <v>13</v>
      </c>
      <c r="AV33" s="32">
        <f t="shared" si="14"/>
        <v>0</v>
      </c>
      <c r="AW33" s="32">
        <f t="shared" si="15"/>
        <v>0</v>
      </c>
      <c r="AX33" s="32">
        <f t="shared" si="16"/>
        <v>0</v>
      </c>
      <c r="AY33" s="33" t="s">
        <v>181</v>
      </c>
      <c r="AZ33" s="33" t="s">
        <v>190</v>
      </c>
      <c r="BA33" s="28" t="s">
        <v>194</v>
      </c>
      <c r="BC33" s="32">
        <f t="shared" si="17"/>
        <v>0</v>
      </c>
      <c r="BD33" s="32">
        <f t="shared" si="18"/>
        <v>0</v>
      </c>
      <c r="BE33" s="32">
        <v>0</v>
      </c>
      <c r="BF33" s="32">
        <f>33</f>
        <v>33</v>
      </c>
      <c r="BH33" s="16">
        <f t="shared" si="19"/>
        <v>0</v>
      </c>
      <c r="BI33" s="16">
        <f t="shared" si="20"/>
        <v>0</v>
      </c>
      <c r="BJ33" s="16">
        <f t="shared" si="21"/>
        <v>0</v>
      </c>
    </row>
    <row r="34" spans="1:62" ht="12.75">
      <c r="A34" s="4" t="s">
        <v>25</v>
      </c>
      <c r="B34" s="4" t="s">
        <v>67</v>
      </c>
      <c r="C34" s="85" t="s">
        <v>117</v>
      </c>
      <c r="D34" s="86"/>
      <c r="E34" s="86"/>
      <c r="F34" s="4" t="s">
        <v>150</v>
      </c>
      <c r="G34" s="15">
        <v>2</v>
      </c>
      <c r="H34" s="15">
        <v>0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L34" s="26" t="s">
        <v>167</v>
      </c>
      <c r="Z34" s="32">
        <f t="shared" si="3"/>
        <v>0</v>
      </c>
      <c r="AB34" s="32">
        <f t="shared" si="4"/>
        <v>0</v>
      </c>
      <c r="AC34" s="32">
        <f t="shared" si="5"/>
        <v>0</v>
      </c>
      <c r="AD34" s="32">
        <f t="shared" si="6"/>
        <v>0</v>
      </c>
      <c r="AE34" s="32">
        <f t="shared" si="7"/>
        <v>0</v>
      </c>
      <c r="AF34" s="32">
        <f t="shared" si="8"/>
        <v>0</v>
      </c>
      <c r="AG34" s="32">
        <f t="shared" si="9"/>
        <v>0</v>
      </c>
      <c r="AH34" s="32">
        <f t="shared" si="10"/>
        <v>0</v>
      </c>
      <c r="AI34" s="28"/>
      <c r="AJ34" s="15">
        <f t="shared" si="11"/>
        <v>0</v>
      </c>
      <c r="AK34" s="15">
        <f t="shared" si="12"/>
        <v>0</v>
      </c>
      <c r="AL34" s="15">
        <f t="shared" si="13"/>
        <v>0</v>
      </c>
      <c r="AN34" s="32">
        <v>21</v>
      </c>
      <c r="AO34" s="32">
        <f>H34*0.0374133949191686</f>
        <v>0</v>
      </c>
      <c r="AP34" s="32">
        <f>H34*(1-0.0374133949191686)</f>
        <v>0</v>
      </c>
      <c r="AQ34" s="26" t="s">
        <v>13</v>
      </c>
      <c r="AV34" s="32">
        <f t="shared" si="14"/>
        <v>0</v>
      </c>
      <c r="AW34" s="32">
        <f t="shared" si="15"/>
        <v>0</v>
      </c>
      <c r="AX34" s="32">
        <f t="shared" si="16"/>
        <v>0</v>
      </c>
      <c r="AY34" s="33" t="s">
        <v>181</v>
      </c>
      <c r="AZ34" s="33" t="s">
        <v>190</v>
      </c>
      <c r="BA34" s="28" t="s">
        <v>194</v>
      </c>
      <c r="BC34" s="32">
        <f t="shared" si="17"/>
        <v>0</v>
      </c>
      <c r="BD34" s="32">
        <f t="shared" si="18"/>
        <v>0</v>
      </c>
      <c r="BE34" s="32">
        <v>0</v>
      </c>
      <c r="BF34" s="32">
        <f>34</f>
        <v>34</v>
      </c>
      <c r="BH34" s="15">
        <f t="shared" si="19"/>
        <v>0</v>
      </c>
      <c r="BI34" s="15">
        <f t="shared" si="20"/>
        <v>0</v>
      </c>
      <c r="BJ34" s="15">
        <f t="shared" si="21"/>
        <v>0</v>
      </c>
    </row>
    <row r="35" spans="1:62" ht="12.75">
      <c r="A35" s="5" t="s">
        <v>26</v>
      </c>
      <c r="B35" s="5" t="s">
        <v>68</v>
      </c>
      <c r="C35" s="87" t="s">
        <v>118</v>
      </c>
      <c r="D35" s="88"/>
      <c r="E35" s="88"/>
      <c r="F35" s="5" t="s">
        <v>151</v>
      </c>
      <c r="G35" s="16">
        <v>2</v>
      </c>
      <c r="H35" s="16">
        <v>0</v>
      </c>
      <c r="I35" s="16">
        <f t="shared" si="0"/>
        <v>0</v>
      </c>
      <c r="J35" s="16">
        <f t="shared" si="1"/>
        <v>0</v>
      </c>
      <c r="K35" s="16">
        <f t="shared" si="2"/>
        <v>0</v>
      </c>
      <c r="L35" s="27"/>
      <c r="Z35" s="32">
        <f t="shared" si="3"/>
        <v>0</v>
      </c>
      <c r="AB35" s="32">
        <f t="shared" si="4"/>
        <v>0</v>
      </c>
      <c r="AC35" s="32">
        <f t="shared" si="5"/>
        <v>0</v>
      </c>
      <c r="AD35" s="32">
        <f t="shared" si="6"/>
        <v>0</v>
      </c>
      <c r="AE35" s="32">
        <f t="shared" si="7"/>
        <v>0</v>
      </c>
      <c r="AF35" s="32">
        <f t="shared" si="8"/>
        <v>0</v>
      </c>
      <c r="AG35" s="32">
        <f t="shared" si="9"/>
        <v>0</v>
      </c>
      <c r="AH35" s="32">
        <f t="shared" si="10"/>
        <v>0</v>
      </c>
      <c r="AI35" s="28"/>
      <c r="AJ35" s="16">
        <f t="shared" si="11"/>
        <v>0</v>
      </c>
      <c r="AK35" s="16">
        <f t="shared" si="12"/>
        <v>0</v>
      </c>
      <c r="AL35" s="16">
        <f t="shared" si="13"/>
        <v>0</v>
      </c>
      <c r="AN35" s="32">
        <v>21</v>
      </c>
      <c r="AO35" s="32">
        <f>H35*1</f>
        <v>0</v>
      </c>
      <c r="AP35" s="32">
        <f>H35*(1-1)</f>
        <v>0</v>
      </c>
      <c r="AQ35" s="27" t="s">
        <v>13</v>
      </c>
      <c r="AV35" s="32">
        <f t="shared" si="14"/>
        <v>0</v>
      </c>
      <c r="AW35" s="32">
        <f t="shared" si="15"/>
        <v>0</v>
      </c>
      <c r="AX35" s="32">
        <f t="shared" si="16"/>
        <v>0</v>
      </c>
      <c r="AY35" s="33" t="s">
        <v>181</v>
      </c>
      <c r="AZ35" s="33" t="s">
        <v>190</v>
      </c>
      <c r="BA35" s="28" t="s">
        <v>194</v>
      </c>
      <c r="BC35" s="32">
        <f t="shared" si="17"/>
        <v>0</v>
      </c>
      <c r="BD35" s="32">
        <f t="shared" si="18"/>
        <v>0</v>
      </c>
      <c r="BE35" s="32">
        <v>0</v>
      </c>
      <c r="BF35" s="32">
        <f>35</f>
        <v>35</v>
      </c>
      <c r="BH35" s="16">
        <f t="shared" si="19"/>
        <v>0</v>
      </c>
      <c r="BI35" s="16">
        <f t="shared" si="20"/>
        <v>0</v>
      </c>
      <c r="BJ35" s="16">
        <f t="shared" si="21"/>
        <v>0</v>
      </c>
    </row>
    <row r="36" spans="1:47" ht="12.75">
      <c r="A36" s="6"/>
      <c r="B36" s="13" t="s">
        <v>69</v>
      </c>
      <c r="C36" s="89" t="s">
        <v>119</v>
      </c>
      <c r="D36" s="90"/>
      <c r="E36" s="90"/>
      <c r="F36" s="6" t="s">
        <v>6</v>
      </c>
      <c r="G36" s="6" t="s">
        <v>6</v>
      </c>
      <c r="H36" s="6" t="s">
        <v>6</v>
      </c>
      <c r="I36" s="35">
        <f>SUM(I37:I37)</f>
        <v>0</v>
      </c>
      <c r="J36" s="35">
        <f>SUM(J37:J37)</f>
        <v>0</v>
      </c>
      <c r="K36" s="35">
        <f>SUM(K37:K37)</f>
        <v>0</v>
      </c>
      <c r="L36" s="28"/>
      <c r="AI36" s="28"/>
      <c r="AS36" s="35">
        <f>SUM(AJ37:AJ37)</f>
        <v>0</v>
      </c>
      <c r="AT36" s="35">
        <f>SUM(AK37:AK37)</f>
        <v>0</v>
      </c>
      <c r="AU36" s="35">
        <f>SUM(AL37:AL37)</f>
        <v>0</v>
      </c>
    </row>
    <row r="37" spans="1:62" ht="12.75">
      <c r="A37" s="4" t="s">
        <v>27</v>
      </c>
      <c r="B37" s="4" t="s">
        <v>70</v>
      </c>
      <c r="C37" s="85" t="s">
        <v>120</v>
      </c>
      <c r="D37" s="86"/>
      <c r="E37" s="86"/>
      <c r="F37" s="4" t="s">
        <v>149</v>
      </c>
      <c r="G37" s="15">
        <v>2</v>
      </c>
      <c r="H37" s="15">
        <v>0</v>
      </c>
      <c r="I37" s="15">
        <f>G37*AO37</f>
        <v>0</v>
      </c>
      <c r="J37" s="15">
        <f>G37*AP37</f>
        <v>0</v>
      </c>
      <c r="K37" s="15">
        <f>G37*H37</f>
        <v>0</v>
      </c>
      <c r="L37" s="26" t="s">
        <v>167</v>
      </c>
      <c r="Z37" s="32">
        <f>IF(AQ37="5",BJ37,0)</f>
        <v>0</v>
      </c>
      <c r="AB37" s="32">
        <f>IF(AQ37="1",BH37,0)</f>
        <v>0</v>
      </c>
      <c r="AC37" s="32">
        <f>IF(AQ37="1",BI37,0)</f>
        <v>0</v>
      </c>
      <c r="AD37" s="32">
        <f>IF(AQ37="7",BH37,0)</f>
        <v>0</v>
      </c>
      <c r="AE37" s="32">
        <f>IF(AQ37="7",BI37,0)</f>
        <v>0</v>
      </c>
      <c r="AF37" s="32">
        <f>IF(AQ37="2",BH37,0)</f>
        <v>0</v>
      </c>
      <c r="AG37" s="32">
        <f>IF(AQ37="2",BI37,0)</f>
        <v>0</v>
      </c>
      <c r="AH37" s="32">
        <f>IF(AQ37="0",BJ37,0)</f>
        <v>0</v>
      </c>
      <c r="AI37" s="28"/>
      <c r="AJ37" s="15">
        <f>IF(AN37=0,K37,0)</f>
        <v>0</v>
      </c>
      <c r="AK37" s="15">
        <f>IF(AN37=15,K37,0)</f>
        <v>0</v>
      </c>
      <c r="AL37" s="15">
        <f>IF(AN37=21,K37,0)</f>
        <v>0</v>
      </c>
      <c r="AN37" s="32">
        <v>21</v>
      </c>
      <c r="AO37" s="32">
        <f>H37*0.265354558610709</f>
        <v>0</v>
      </c>
      <c r="AP37" s="32">
        <f>H37*(1-0.265354558610709)</f>
        <v>0</v>
      </c>
      <c r="AQ37" s="26" t="s">
        <v>13</v>
      </c>
      <c r="AV37" s="32">
        <f>AW37+AX37</f>
        <v>0</v>
      </c>
      <c r="AW37" s="32">
        <f>G37*AO37</f>
        <v>0</v>
      </c>
      <c r="AX37" s="32">
        <f>G37*AP37</f>
        <v>0</v>
      </c>
      <c r="AY37" s="33" t="s">
        <v>182</v>
      </c>
      <c r="AZ37" s="33" t="s">
        <v>190</v>
      </c>
      <c r="BA37" s="28" t="s">
        <v>194</v>
      </c>
      <c r="BC37" s="32">
        <f>AW37+AX37</f>
        <v>0</v>
      </c>
      <c r="BD37" s="32">
        <f>H37/(100-BE37)*100</f>
        <v>0</v>
      </c>
      <c r="BE37" s="32">
        <v>0</v>
      </c>
      <c r="BF37" s="32">
        <f>37</f>
        <v>37</v>
      </c>
      <c r="BH37" s="15">
        <f>G37*AO37</f>
        <v>0</v>
      </c>
      <c r="BI37" s="15">
        <f>G37*AP37</f>
        <v>0</v>
      </c>
      <c r="BJ37" s="15">
        <f>G37*H37</f>
        <v>0</v>
      </c>
    </row>
    <row r="38" spans="1:47" ht="12.75">
      <c r="A38" s="6"/>
      <c r="B38" s="13" t="s">
        <v>71</v>
      </c>
      <c r="C38" s="89" t="s">
        <v>121</v>
      </c>
      <c r="D38" s="90"/>
      <c r="E38" s="90"/>
      <c r="F38" s="6" t="s">
        <v>6</v>
      </c>
      <c r="G38" s="6" t="s">
        <v>6</v>
      </c>
      <c r="H38" s="6" t="s">
        <v>6</v>
      </c>
      <c r="I38" s="35">
        <f>SUM(I39:I44)</f>
        <v>0</v>
      </c>
      <c r="J38" s="35">
        <f>SUM(J39:J44)</f>
        <v>0</v>
      </c>
      <c r="K38" s="35">
        <f>SUM(K39:K44)</f>
        <v>0</v>
      </c>
      <c r="L38" s="28"/>
      <c r="AI38" s="28"/>
      <c r="AS38" s="35">
        <f>SUM(AJ39:AJ44)</f>
        <v>0</v>
      </c>
      <c r="AT38" s="35">
        <f>SUM(AK39:AK44)</f>
        <v>0</v>
      </c>
      <c r="AU38" s="35">
        <f>SUM(AL39:AL44)</f>
        <v>0</v>
      </c>
    </row>
    <row r="39" spans="1:62" ht="12.75">
      <c r="A39" s="4" t="s">
        <v>28</v>
      </c>
      <c r="B39" s="4" t="s">
        <v>72</v>
      </c>
      <c r="C39" s="85" t="s">
        <v>122</v>
      </c>
      <c r="D39" s="86"/>
      <c r="E39" s="86"/>
      <c r="F39" s="4" t="s">
        <v>148</v>
      </c>
      <c r="G39" s="15">
        <v>8</v>
      </c>
      <c r="H39" s="15">
        <v>0</v>
      </c>
      <c r="I39" s="15">
        <f aca="true" t="shared" si="22" ref="I39:I44">G39*AO39</f>
        <v>0</v>
      </c>
      <c r="J39" s="15">
        <f aca="true" t="shared" si="23" ref="J39:J44">G39*AP39</f>
        <v>0</v>
      </c>
      <c r="K39" s="15">
        <f aca="true" t="shared" si="24" ref="K39:K44">G39*H39</f>
        <v>0</v>
      </c>
      <c r="L39" s="26" t="s">
        <v>167</v>
      </c>
      <c r="Z39" s="32">
        <f aca="true" t="shared" si="25" ref="Z39:Z44">IF(AQ39="5",BJ39,0)</f>
        <v>0</v>
      </c>
      <c r="AB39" s="32">
        <f aca="true" t="shared" si="26" ref="AB39:AB44">IF(AQ39="1",BH39,0)</f>
        <v>0</v>
      </c>
      <c r="AC39" s="32">
        <f aca="true" t="shared" si="27" ref="AC39:AC44">IF(AQ39="1",BI39,0)</f>
        <v>0</v>
      </c>
      <c r="AD39" s="32">
        <f aca="true" t="shared" si="28" ref="AD39:AD44">IF(AQ39="7",BH39,0)</f>
        <v>0</v>
      </c>
      <c r="AE39" s="32">
        <f aca="true" t="shared" si="29" ref="AE39:AE44">IF(AQ39="7",BI39,0)</f>
        <v>0</v>
      </c>
      <c r="AF39" s="32">
        <f aca="true" t="shared" si="30" ref="AF39:AF44">IF(AQ39="2",BH39,0)</f>
        <v>0</v>
      </c>
      <c r="AG39" s="32">
        <f aca="true" t="shared" si="31" ref="AG39:AG44">IF(AQ39="2",BI39,0)</f>
        <v>0</v>
      </c>
      <c r="AH39" s="32">
        <f aca="true" t="shared" si="32" ref="AH39:AH44">IF(AQ39="0",BJ39,0)</f>
        <v>0</v>
      </c>
      <c r="AI39" s="28"/>
      <c r="AJ39" s="15">
        <f aca="true" t="shared" si="33" ref="AJ39:AJ44">IF(AN39=0,K39,0)</f>
        <v>0</v>
      </c>
      <c r="AK39" s="15">
        <f aca="true" t="shared" si="34" ref="AK39:AK44">IF(AN39=15,K39,0)</f>
        <v>0</v>
      </c>
      <c r="AL39" s="15">
        <f aca="true" t="shared" si="35" ref="AL39:AL44">IF(AN39=21,K39,0)</f>
        <v>0</v>
      </c>
      <c r="AN39" s="32">
        <v>21</v>
      </c>
      <c r="AO39" s="32">
        <f>H39*0.16647791619479</f>
        <v>0</v>
      </c>
      <c r="AP39" s="32">
        <f>H39*(1-0.16647791619479)</f>
        <v>0</v>
      </c>
      <c r="AQ39" s="26" t="s">
        <v>13</v>
      </c>
      <c r="AV39" s="32">
        <f aca="true" t="shared" si="36" ref="AV39:AV44">AW39+AX39</f>
        <v>0</v>
      </c>
      <c r="AW39" s="32">
        <f aca="true" t="shared" si="37" ref="AW39:AW44">G39*AO39</f>
        <v>0</v>
      </c>
      <c r="AX39" s="32">
        <f aca="true" t="shared" si="38" ref="AX39:AX44">G39*AP39</f>
        <v>0</v>
      </c>
      <c r="AY39" s="33" t="s">
        <v>183</v>
      </c>
      <c r="AZ39" s="33" t="s">
        <v>190</v>
      </c>
      <c r="BA39" s="28" t="s">
        <v>194</v>
      </c>
      <c r="BC39" s="32">
        <f aca="true" t="shared" si="39" ref="BC39:BC44">AW39+AX39</f>
        <v>0</v>
      </c>
      <c r="BD39" s="32">
        <f aca="true" t="shared" si="40" ref="BD39:BD44">H39/(100-BE39)*100</f>
        <v>0</v>
      </c>
      <c r="BE39" s="32">
        <v>0</v>
      </c>
      <c r="BF39" s="32">
        <f>39</f>
        <v>39</v>
      </c>
      <c r="BH39" s="15">
        <f aca="true" t="shared" si="41" ref="BH39:BH44">G39*AO39</f>
        <v>0</v>
      </c>
      <c r="BI39" s="15">
        <f aca="true" t="shared" si="42" ref="BI39:BI44">G39*AP39</f>
        <v>0</v>
      </c>
      <c r="BJ39" s="15">
        <f aca="true" t="shared" si="43" ref="BJ39:BJ44">G39*H39</f>
        <v>0</v>
      </c>
    </row>
    <row r="40" spans="1:62" ht="12.75">
      <c r="A40" s="4" t="s">
        <v>29</v>
      </c>
      <c r="B40" s="4" t="s">
        <v>73</v>
      </c>
      <c r="C40" s="85" t="s">
        <v>123</v>
      </c>
      <c r="D40" s="86"/>
      <c r="E40" s="86"/>
      <c r="F40" s="4" t="s">
        <v>148</v>
      </c>
      <c r="G40" s="15">
        <v>15</v>
      </c>
      <c r="H40" s="15">
        <v>0</v>
      </c>
      <c r="I40" s="15">
        <f t="shared" si="22"/>
        <v>0</v>
      </c>
      <c r="J40" s="15">
        <f t="shared" si="23"/>
        <v>0</v>
      </c>
      <c r="K40" s="15">
        <f t="shared" si="24"/>
        <v>0</v>
      </c>
      <c r="L40" s="26" t="s">
        <v>167</v>
      </c>
      <c r="Z40" s="32">
        <f t="shared" si="25"/>
        <v>0</v>
      </c>
      <c r="AB40" s="32">
        <f t="shared" si="26"/>
        <v>0</v>
      </c>
      <c r="AC40" s="32">
        <f t="shared" si="27"/>
        <v>0</v>
      </c>
      <c r="AD40" s="32">
        <f t="shared" si="28"/>
        <v>0</v>
      </c>
      <c r="AE40" s="32">
        <f t="shared" si="29"/>
        <v>0</v>
      </c>
      <c r="AF40" s="32">
        <f t="shared" si="30"/>
        <v>0</v>
      </c>
      <c r="AG40" s="32">
        <f t="shared" si="31"/>
        <v>0</v>
      </c>
      <c r="AH40" s="32">
        <f t="shared" si="32"/>
        <v>0</v>
      </c>
      <c r="AI40" s="28"/>
      <c r="AJ40" s="15">
        <f t="shared" si="33"/>
        <v>0</v>
      </c>
      <c r="AK40" s="15">
        <f t="shared" si="34"/>
        <v>0</v>
      </c>
      <c r="AL40" s="15">
        <f t="shared" si="35"/>
        <v>0</v>
      </c>
      <c r="AN40" s="32">
        <v>21</v>
      </c>
      <c r="AO40" s="32">
        <f>H40*0.218032786885246</f>
        <v>0</v>
      </c>
      <c r="AP40" s="32">
        <f>H40*(1-0.218032786885246)</f>
        <v>0</v>
      </c>
      <c r="AQ40" s="26" t="s">
        <v>13</v>
      </c>
      <c r="AV40" s="32">
        <f t="shared" si="36"/>
        <v>0</v>
      </c>
      <c r="AW40" s="32">
        <f t="shared" si="37"/>
        <v>0</v>
      </c>
      <c r="AX40" s="32">
        <f t="shared" si="38"/>
        <v>0</v>
      </c>
      <c r="AY40" s="33" t="s">
        <v>183</v>
      </c>
      <c r="AZ40" s="33" t="s">
        <v>190</v>
      </c>
      <c r="BA40" s="28" t="s">
        <v>194</v>
      </c>
      <c r="BC40" s="32">
        <f t="shared" si="39"/>
        <v>0</v>
      </c>
      <c r="BD40" s="32">
        <f t="shared" si="40"/>
        <v>0</v>
      </c>
      <c r="BE40" s="32">
        <v>0</v>
      </c>
      <c r="BF40" s="32">
        <f>40</f>
        <v>40</v>
      </c>
      <c r="BH40" s="15">
        <f t="shared" si="41"/>
        <v>0</v>
      </c>
      <c r="BI40" s="15">
        <f t="shared" si="42"/>
        <v>0</v>
      </c>
      <c r="BJ40" s="15">
        <f t="shared" si="43"/>
        <v>0</v>
      </c>
    </row>
    <row r="41" spans="1:62" ht="12.75">
      <c r="A41" s="4" t="s">
        <v>30</v>
      </c>
      <c r="B41" s="4" t="s">
        <v>74</v>
      </c>
      <c r="C41" s="85" t="s">
        <v>124</v>
      </c>
      <c r="D41" s="86"/>
      <c r="E41" s="86"/>
      <c r="F41" s="4" t="s">
        <v>148</v>
      </c>
      <c r="G41" s="15">
        <v>6</v>
      </c>
      <c r="H41" s="15">
        <v>0</v>
      </c>
      <c r="I41" s="15">
        <f t="shared" si="22"/>
        <v>0</v>
      </c>
      <c r="J41" s="15">
        <f t="shared" si="23"/>
        <v>0</v>
      </c>
      <c r="K41" s="15">
        <f t="shared" si="24"/>
        <v>0</v>
      </c>
      <c r="L41" s="26" t="s">
        <v>167</v>
      </c>
      <c r="Z41" s="32">
        <f t="shared" si="25"/>
        <v>0</v>
      </c>
      <c r="AB41" s="32">
        <f t="shared" si="26"/>
        <v>0</v>
      </c>
      <c r="AC41" s="32">
        <f t="shared" si="27"/>
        <v>0</v>
      </c>
      <c r="AD41" s="32">
        <f t="shared" si="28"/>
        <v>0</v>
      </c>
      <c r="AE41" s="32">
        <f t="shared" si="29"/>
        <v>0</v>
      </c>
      <c r="AF41" s="32">
        <f t="shared" si="30"/>
        <v>0</v>
      </c>
      <c r="AG41" s="32">
        <f t="shared" si="31"/>
        <v>0</v>
      </c>
      <c r="AH41" s="32">
        <f t="shared" si="32"/>
        <v>0</v>
      </c>
      <c r="AI41" s="28"/>
      <c r="AJ41" s="15">
        <f t="shared" si="33"/>
        <v>0</v>
      </c>
      <c r="AK41" s="15">
        <f t="shared" si="34"/>
        <v>0</v>
      </c>
      <c r="AL41" s="15">
        <f t="shared" si="35"/>
        <v>0</v>
      </c>
      <c r="AN41" s="32">
        <v>21</v>
      </c>
      <c r="AO41" s="32">
        <f>H41*0.430899470899471</f>
        <v>0</v>
      </c>
      <c r="AP41" s="32">
        <f>H41*(1-0.430899470899471)</f>
        <v>0</v>
      </c>
      <c r="AQ41" s="26" t="s">
        <v>13</v>
      </c>
      <c r="AV41" s="32">
        <f t="shared" si="36"/>
        <v>0</v>
      </c>
      <c r="AW41" s="32">
        <f t="shared" si="37"/>
        <v>0</v>
      </c>
      <c r="AX41" s="32">
        <f t="shared" si="38"/>
        <v>0</v>
      </c>
      <c r="AY41" s="33" t="s">
        <v>183</v>
      </c>
      <c r="AZ41" s="33" t="s">
        <v>190</v>
      </c>
      <c r="BA41" s="28" t="s">
        <v>194</v>
      </c>
      <c r="BC41" s="32">
        <f t="shared" si="39"/>
        <v>0</v>
      </c>
      <c r="BD41" s="32">
        <f t="shared" si="40"/>
        <v>0</v>
      </c>
      <c r="BE41" s="32">
        <v>0</v>
      </c>
      <c r="BF41" s="32">
        <f>41</f>
        <v>41</v>
      </c>
      <c r="BH41" s="15">
        <f t="shared" si="41"/>
        <v>0</v>
      </c>
      <c r="BI41" s="15">
        <f t="shared" si="42"/>
        <v>0</v>
      </c>
      <c r="BJ41" s="15">
        <f t="shared" si="43"/>
        <v>0</v>
      </c>
    </row>
    <row r="42" spans="1:62" ht="12.75">
      <c r="A42" s="4" t="s">
        <v>31</v>
      </c>
      <c r="B42" s="4" t="s">
        <v>75</v>
      </c>
      <c r="C42" s="85" t="s">
        <v>125</v>
      </c>
      <c r="D42" s="86"/>
      <c r="E42" s="86"/>
      <c r="F42" s="4" t="s">
        <v>148</v>
      </c>
      <c r="G42" s="15">
        <v>15</v>
      </c>
      <c r="H42" s="15">
        <v>0</v>
      </c>
      <c r="I42" s="15">
        <f t="shared" si="22"/>
        <v>0</v>
      </c>
      <c r="J42" s="15">
        <f t="shared" si="23"/>
        <v>0</v>
      </c>
      <c r="K42" s="15">
        <f t="shared" si="24"/>
        <v>0</v>
      </c>
      <c r="L42" s="26" t="s">
        <v>167</v>
      </c>
      <c r="Z42" s="32">
        <f t="shared" si="25"/>
        <v>0</v>
      </c>
      <c r="AB42" s="32">
        <f t="shared" si="26"/>
        <v>0</v>
      </c>
      <c r="AC42" s="32">
        <f t="shared" si="27"/>
        <v>0</v>
      </c>
      <c r="AD42" s="32">
        <f t="shared" si="28"/>
        <v>0</v>
      </c>
      <c r="AE42" s="32">
        <f t="shared" si="29"/>
        <v>0</v>
      </c>
      <c r="AF42" s="32">
        <f t="shared" si="30"/>
        <v>0</v>
      </c>
      <c r="AG42" s="32">
        <f t="shared" si="31"/>
        <v>0</v>
      </c>
      <c r="AH42" s="32">
        <f t="shared" si="32"/>
        <v>0</v>
      </c>
      <c r="AI42" s="28"/>
      <c r="AJ42" s="15">
        <f t="shared" si="33"/>
        <v>0</v>
      </c>
      <c r="AK42" s="15">
        <f t="shared" si="34"/>
        <v>0</v>
      </c>
      <c r="AL42" s="15">
        <f t="shared" si="35"/>
        <v>0</v>
      </c>
      <c r="AN42" s="32">
        <v>21</v>
      </c>
      <c r="AO42" s="32">
        <f>H42*0.539255441008018</f>
        <v>0</v>
      </c>
      <c r="AP42" s="32">
        <f>H42*(1-0.539255441008018)</f>
        <v>0</v>
      </c>
      <c r="AQ42" s="26" t="s">
        <v>13</v>
      </c>
      <c r="AV42" s="32">
        <f t="shared" si="36"/>
        <v>0</v>
      </c>
      <c r="AW42" s="32">
        <f t="shared" si="37"/>
        <v>0</v>
      </c>
      <c r="AX42" s="32">
        <f t="shared" si="38"/>
        <v>0</v>
      </c>
      <c r="AY42" s="33" t="s">
        <v>183</v>
      </c>
      <c r="AZ42" s="33" t="s">
        <v>190</v>
      </c>
      <c r="BA42" s="28" t="s">
        <v>194</v>
      </c>
      <c r="BC42" s="32">
        <f t="shared" si="39"/>
        <v>0</v>
      </c>
      <c r="BD42" s="32">
        <f t="shared" si="40"/>
        <v>0</v>
      </c>
      <c r="BE42" s="32">
        <v>0</v>
      </c>
      <c r="BF42" s="32">
        <f>42</f>
        <v>42</v>
      </c>
      <c r="BH42" s="15">
        <f t="shared" si="41"/>
        <v>0</v>
      </c>
      <c r="BI42" s="15">
        <f t="shared" si="42"/>
        <v>0</v>
      </c>
      <c r="BJ42" s="15">
        <f t="shared" si="43"/>
        <v>0</v>
      </c>
    </row>
    <row r="43" spans="1:62" ht="12.75">
      <c r="A43" s="4" t="s">
        <v>32</v>
      </c>
      <c r="B43" s="4" t="s">
        <v>76</v>
      </c>
      <c r="C43" s="85" t="s">
        <v>126</v>
      </c>
      <c r="D43" s="86"/>
      <c r="E43" s="86"/>
      <c r="F43" s="4" t="s">
        <v>148</v>
      </c>
      <c r="G43" s="15">
        <v>6</v>
      </c>
      <c r="H43" s="15">
        <v>0</v>
      </c>
      <c r="I43" s="15">
        <f t="shared" si="22"/>
        <v>0</v>
      </c>
      <c r="J43" s="15">
        <f t="shared" si="23"/>
        <v>0</v>
      </c>
      <c r="K43" s="15">
        <f t="shared" si="24"/>
        <v>0</v>
      </c>
      <c r="L43" s="26" t="s">
        <v>167</v>
      </c>
      <c r="Z43" s="32">
        <f t="shared" si="25"/>
        <v>0</v>
      </c>
      <c r="AB43" s="32">
        <f t="shared" si="26"/>
        <v>0</v>
      </c>
      <c r="AC43" s="32">
        <f t="shared" si="27"/>
        <v>0</v>
      </c>
      <c r="AD43" s="32">
        <f t="shared" si="28"/>
        <v>0</v>
      </c>
      <c r="AE43" s="32">
        <f t="shared" si="29"/>
        <v>0</v>
      </c>
      <c r="AF43" s="32">
        <f t="shared" si="30"/>
        <v>0</v>
      </c>
      <c r="AG43" s="32">
        <f t="shared" si="31"/>
        <v>0</v>
      </c>
      <c r="AH43" s="32">
        <f t="shared" si="32"/>
        <v>0</v>
      </c>
      <c r="AI43" s="28"/>
      <c r="AJ43" s="15">
        <f t="shared" si="33"/>
        <v>0</v>
      </c>
      <c r="AK43" s="15">
        <f t="shared" si="34"/>
        <v>0</v>
      </c>
      <c r="AL43" s="15">
        <f t="shared" si="35"/>
        <v>0</v>
      </c>
      <c r="AN43" s="32">
        <v>21</v>
      </c>
      <c r="AO43" s="32">
        <f>H43*0.0223529411764706</f>
        <v>0</v>
      </c>
      <c r="AP43" s="32">
        <f>H43*(1-0.0223529411764706)</f>
        <v>0</v>
      </c>
      <c r="AQ43" s="26" t="s">
        <v>13</v>
      </c>
      <c r="AV43" s="32">
        <f t="shared" si="36"/>
        <v>0</v>
      </c>
      <c r="AW43" s="32">
        <f t="shared" si="37"/>
        <v>0</v>
      </c>
      <c r="AX43" s="32">
        <f t="shared" si="38"/>
        <v>0</v>
      </c>
      <c r="AY43" s="33" t="s">
        <v>183</v>
      </c>
      <c r="AZ43" s="33" t="s">
        <v>190</v>
      </c>
      <c r="BA43" s="28" t="s">
        <v>194</v>
      </c>
      <c r="BC43" s="32">
        <f t="shared" si="39"/>
        <v>0</v>
      </c>
      <c r="BD43" s="32">
        <f t="shared" si="40"/>
        <v>0</v>
      </c>
      <c r="BE43" s="32">
        <v>0</v>
      </c>
      <c r="BF43" s="32">
        <f>43</f>
        <v>43</v>
      </c>
      <c r="BH43" s="15">
        <f t="shared" si="41"/>
        <v>0</v>
      </c>
      <c r="BI43" s="15">
        <f t="shared" si="42"/>
        <v>0</v>
      </c>
      <c r="BJ43" s="15">
        <f t="shared" si="43"/>
        <v>0</v>
      </c>
    </row>
    <row r="44" spans="1:62" ht="12.75">
      <c r="A44" s="4" t="s">
        <v>33</v>
      </c>
      <c r="B44" s="4" t="s">
        <v>77</v>
      </c>
      <c r="C44" s="85" t="s">
        <v>127</v>
      </c>
      <c r="D44" s="86"/>
      <c r="E44" s="86"/>
      <c r="F44" s="4" t="s">
        <v>148</v>
      </c>
      <c r="G44" s="15">
        <v>15</v>
      </c>
      <c r="H44" s="15">
        <v>0</v>
      </c>
      <c r="I44" s="15">
        <f t="shared" si="22"/>
        <v>0</v>
      </c>
      <c r="J44" s="15">
        <f t="shared" si="23"/>
        <v>0</v>
      </c>
      <c r="K44" s="15">
        <f t="shared" si="24"/>
        <v>0</v>
      </c>
      <c r="L44" s="26" t="s">
        <v>167</v>
      </c>
      <c r="Z44" s="32">
        <f t="shared" si="25"/>
        <v>0</v>
      </c>
      <c r="AB44" s="32">
        <f t="shared" si="26"/>
        <v>0</v>
      </c>
      <c r="AC44" s="32">
        <f t="shared" si="27"/>
        <v>0</v>
      </c>
      <c r="AD44" s="32">
        <f t="shared" si="28"/>
        <v>0</v>
      </c>
      <c r="AE44" s="32">
        <f t="shared" si="29"/>
        <v>0</v>
      </c>
      <c r="AF44" s="32">
        <f t="shared" si="30"/>
        <v>0</v>
      </c>
      <c r="AG44" s="32">
        <f t="shared" si="31"/>
        <v>0</v>
      </c>
      <c r="AH44" s="32">
        <f t="shared" si="32"/>
        <v>0</v>
      </c>
      <c r="AI44" s="28"/>
      <c r="AJ44" s="15">
        <f t="shared" si="33"/>
        <v>0</v>
      </c>
      <c r="AK44" s="15">
        <f t="shared" si="34"/>
        <v>0</v>
      </c>
      <c r="AL44" s="15">
        <f t="shared" si="35"/>
        <v>0</v>
      </c>
      <c r="AN44" s="32">
        <v>21</v>
      </c>
      <c r="AO44" s="32">
        <f>H44*0.0238568588469185</f>
        <v>0</v>
      </c>
      <c r="AP44" s="32">
        <f>H44*(1-0.0238568588469185)</f>
        <v>0</v>
      </c>
      <c r="AQ44" s="26" t="s">
        <v>13</v>
      </c>
      <c r="AV44" s="32">
        <f t="shared" si="36"/>
        <v>0</v>
      </c>
      <c r="AW44" s="32">
        <f t="shared" si="37"/>
        <v>0</v>
      </c>
      <c r="AX44" s="32">
        <f t="shared" si="38"/>
        <v>0</v>
      </c>
      <c r="AY44" s="33" t="s">
        <v>183</v>
      </c>
      <c r="AZ44" s="33" t="s">
        <v>190</v>
      </c>
      <c r="BA44" s="28" t="s">
        <v>194</v>
      </c>
      <c r="BC44" s="32">
        <f t="shared" si="39"/>
        <v>0</v>
      </c>
      <c r="BD44" s="32">
        <f t="shared" si="40"/>
        <v>0</v>
      </c>
      <c r="BE44" s="32">
        <v>0</v>
      </c>
      <c r="BF44" s="32">
        <f>44</f>
        <v>44</v>
      </c>
      <c r="BH44" s="15">
        <f t="shared" si="41"/>
        <v>0</v>
      </c>
      <c r="BI44" s="15">
        <f t="shared" si="42"/>
        <v>0</v>
      </c>
      <c r="BJ44" s="15">
        <f t="shared" si="43"/>
        <v>0</v>
      </c>
    </row>
    <row r="45" spans="1:47" ht="12.75">
      <c r="A45" s="6"/>
      <c r="B45" s="13" t="s">
        <v>78</v>
      </c>
      <c r="C45" s="89" t="s">
        <v>128</v>
      </c>
      <c r="D45" s="90"/>
      <c r="E45" s="90"/>
      <c r="F45" s="6" t="s">
        <v>6</v>
      </c>
      <c r="G45" s="6" t="s">
        <v>6</v>
      </c>
      <c r="H45" s="6" t="s">
        <v>6</v>
      </c>
      <c r="I45" s="35">
        <f>SUM(I46:I50)</f>
        <v>0</v>
      </c>
      <c r="J45" s="35">
        <f>SUM(J46:J50)</f>
        <v>0</v>
      </c>
      <c r="K45" s="35">
        <f>SUM(K46:K50)</f>
        <v>0</v>
      </c>
      <c r="L45" s="28"/>
      <c r="AI45" s="28"/>
      <c r="AS45" s="35">
        <f>SUM(AJ46:AJ50)</f>
        <v>0</v>
      </c>
      <c r="AT45" s="35">
        <f>SUM(AK46:AK50)</f>
        <v>0</v>
      </c>
      <c r="AU45" s="35">
        <f>SUM(AL46:AL50)</f>
        <v>0</v>
      </c>
    </row>
    <row r="46" spans="1:62" ht="12.75">
      <c r="A46" s="4" t="s">
        <v>34</v>
      </c>
      <c r="B46" s="4" t="s">
        <v>79</v>
      </c>
      <c r="C46" s="85" t="s">
        <v>129</v>
      </c>
      <c r="D46" s="86"/>
      <c r="E46" s="86"/>
      <c r="F46" s="4" t="s">
        <v>150</v>
      </c>
      <c r="G46" s="15">
        <v>2</v>
      </c>
      <c r="H46" s="15">
        <v>0</v>
      </c>
      <c r="I46" s="15">
        <f>G46*AO46</f>
        <v>0</v>
      </c>
      <c r="J46" s="15">
        <f>G46*AP46</f>
        <v>0</v>
      </c>
      <c r="K46" s="15">
        <f>G46*H46</f>
        <v>0</v>
      </c>
      <c r="L46" s="26" t="s">
        <v>167</v>
      </c>
      <c r="Z46" s="32">
        <f>IF(AQ46="5",BJ46,0)</f>
        <v>0</v>
      </c>
      <c r="AB46" s="32">
        <f>IF(AQ46="1",BH46,0)</f>
        <v>0</v>
      </c>
      <c r="AC46" s="32">
        <f>IF(AQ46="1",BI46,0)</f>
        <v>0</v>
      </c>
      <c r="AD46" s="32">
        <f>IF(AQ46="7",BH46,0)</f>
        <v>0</v>
      </c>
      <c r="AE46" s="32">
        <f>IF(AQ46="7",BI46,0)</f>
        <v>0</v>
      </c>
      <c r="AF46" s="32">
        <f>IF(AQ46="2",BH46,0)</f>
        <v>0</v>
      </c>
      <c r="AG46" s="32">
        <f>IF(AQ46="2",BI46,0)</f>
        <v>0</v>
      </c>
      <c r="AH46" s="32">
        <f>IF(AQ46="0",BJ46,0)</f>
        <v>0</v>
      </c>
      <c r="AI46" s="28"/>
      <c r="AJ46" s="15">
        <f>IF(AN46=0,K46,0)</f>
        <v>0</v>
      </c>
      <c r="AK46" s="15">
        <f>IF(AN46=15,K46,0)</f>
        <v>0</v>
      </c>
      <c r="AL46" s="15">
        <f>IF(AN46=21,K46,0)</f>
        <v>0</v>
      </c>
      <c r="AN46" s="32">
        <v>21</v>
      </c>
      <c r="AO46" s="32">
        <f>H46*0.894411764705882</f>
        <v>0</v>
      </c>
      <c r="AP46" s="32">
        <f>H46*(1-0.894411764705882)</f>
        <v>0</v>
      </c>
      <c r="AQ46" s="26" t="s">
        <v>13</v>
      </c>
      <c r="AV46" s="32">
        <f>AW46+AX46</f>
        <v>0</v>
      </c>
      <c r="AW46" s="32">
        <f>G46*AO46</f>
        <v>0</v>
      </c>
      <c r="AX46" s="32">
        <f>G46*AP46</f>
        <v>0</v>
      </c>
      <c r="AY46" s="33" t="s">
        <v>184</v>
      </c>
      <c r="AZ46" s="33" t="s">
        <v>190</v>
      </c>
      <c r="BA46" s="28" t="s">
        <v>194</v>
      </c>
      <c r="BC46" s="32">
        <f>AW46+AX46</f>
        <v>0</v>
      </c>
      <c r="BD46" s="32">
        <f>H46/(100-BE46)*100</f>
        <v>0</v>
      </c>
      <c r="BE46" s="32">
        <v>0</v>
      </c>
      <c r="BF46" s="32">
        <f>46</f>
        <v>46</v>
      </c>
      <c r="BH46" s="15">
        <f>G46*AO46</f>
        <v>0</v>
      </c>
      <c r="BI46" s="15">
        <f>G46*AP46</f>
        <v>0</v>
      </c>
      <c r="BJ46" s="15">
        <f>G46*H46</f>
        <v>0</v>
      </c>
    </row>
    <row r="47" spans="1:62" ht="12.75">
      <c r="A47" s="4" t="s">
        <v>35</v>
      </c>
      <c r="B47" s="4" t="s">
        <v>80</v>
      </c>
      <c r="C47" s="85" t="s">
        <v>130</v>
      </c>
      <c r="D47" s="86"/>
      <c r="E47" s="86"/>
      <c r="F47" s="4" t="s">
        <v>150</v>
      </c>
      <c r="G47" s="15">
        <v>2</v>
      </c>
      <c r="H47" s="15">
        <v>0</v>
      </c>
      <c r="I47" s="15">
        <f>G47*AO47</f>
        <v>0</v>
      </c>
      <c r="J47" s="15">
        <f>G47*AP47</f>
        <v>0</v>
      </c>
      <c r="K47" s="15">
        <f>G47*H47</f>
        <v>0</v>
      </c>
      <c r="L47" s="26" t="s">
        <v>167</v>
      </c>
      <c r="Z47" s="32">
        <f>IF(AQ47="5",BJ47,0)</f>
        <v>0</v>
      </c>
      <c r="AB47" s="32">
        <f>IF(AQ47="1",BH47,0)</f>
        <v>0</v>
      </c>
      <c r="AC47" s="32">
        <f>IF(AQ47="1",BI47,0)</f>
        <v>0</v>
      </c>
      <c r="AD47" s="32">
        <f>IF(AQ47="7",BH47,0)</f>
        <v>0</v>
      </c>
      <c r="AE47" s="32">
        <f>IF(AQ47="7",BI47,0)</f>
        <v>0</v>
      </c>
      <c r="AF47" s="32">
        <f>IF(AQ47="2",BH47,0)</f>
        <v>0</v>
      </c>
      <c r="AG47" s="32">
        <f>IF(AQ47="2",BI47,0)</f>
        <v>0</v>
      </c>
      <c r="AH47" s="32">
        <f>IF(AQ47="0",BJ47,0)</f>
        <v>0</v>
      </c>
      <c r="AI47" s="28"/>
      <c r="AJ47" s="15">
        <f>IF(AN47=0,K47,0)</f>
        <v>0</v>
      </c>
      <c r="AK47" s="15">
        <f>IF(AN47=15,K47,0)</f>
        <v>0</v>
      </c>
      <c r="AL47" s="15">
        <f>IF(AN47=21,K47,0)</f>
        <v>0</v>
      </c>
      <c r="AN47" s="32">
        <v>21</v>
      </c>
      <c r="AO47" s="32">
        <f>H47*0.857970909090909</f>
        <v>0</v>
      </c>
      <c r="AP47" s="32">
        <f>H47*(1-0.857970909090909)</f>
        <v>0</v>
      </c>
      <c r="AQ47" s="26" t="s">
        <v>13</v>
      </c>
      <c r="AV47" s="32">
        <f>AW47+AX47</f>
        <v>0</v>
      </c>
      <c r="AW47" s="32">
        <f>G47*AO47</f>
        <v>0</v>
      </c>
      <c r="AX47" s="32">
        <f>G47*AP47</f>
        <v>0</v>
      </c>
      <c r="AY47" s="33" t="s">
        <v>184</v>
      </c>
      <c r="AZ47" s="33" t="s">
        <v>190</v>
      </c>
      <c r="BA47" s="28" t="s">
        <v>194</v>
      </c>
      <c r="BC47" s="32">
        <f>AW47+AX47</f>
        <v>0</v>
      </c>
      <c r="BD47" s="32">
        <f>H47/(100-BE47)*100</f>
        <v>0</v>
      </c>
      <c r="BE47" s="32">
        <v>0</v>
      </c>
      <c r="BF47" s="32">
        <f>47</f>
        <v>47</v>
      </c>
      <c r="BH47" s="15">
        <f>G47*AO47</f>
        <v>0</v>
      </c>
      <c r="BI47" s="15">
        <f>G47*AP47</f>
        <v>0</v>
      </c>
      <c r="BJ47" s="15">
        <f>G47*H47</f>
        <v>0</v>
      </c>
    </row>
    <row r="48" spans="1:62" ht="12.75">
      <c r="A48" s="4" t="s">
        <v>36</v>
      </c>
      <c r="B48" s="4" t="s">
        <v>81</v>
      </c>
      <c r="C48" s="85" t="s">
        <v>131</v>
      </c>
      <c r="D48" s="86"/>
      <c r="E48" s="86"/>
      <c r="F48" s="4" t="s">
        <v>150</v>
      </c>
      <c r="G48" s="15">
        <v>2</v>
      </c>
      <c r="H48" s="15">
        <v>0</v>
      </c>
      <c r="I48" s="15">
        <f>G48*AO48</f>
        <v>0</v>
      </c>
      <c r="J48" s="15">
        <f>G48*AP48</f>
        <v>0</v>
      </c>
      <c r="K48" s="15">
        <f>G48*H48</f>
        <v>0</v>
      </c>
      <c r="L48" s="26" t="s">
        <v>167</v>
      </c>
      <c r="Z48" s="32">
        <f>IF(AQ48="5",BJ48,0)</f>
        <v>0</v>
      </c>
      <c r="AB48" s="32">
        <f>IF(AQ48="1",BH48,0)</f>
        <v>0</v>
      </c>
      <c r="AC48" s="32">
        <f>IF(AQ48="1",BI48,0)</f>
        <v>0</v>
      </c>
      <c r="AD48" s="32">
        <f>IF(AQ48="7",BH48,0)</f>
        <v>0</v>
      </c>
      <c r="AE48" s="32">
        <f>IF(AQ48="7",BI48,0)</f>
        <v>0</v>
      </c>
      <c r="AF48" s="32">
        <f>IF(AQ48="2",BH48,0)</f>
        <v>0</v>
      </c>
      <c r="AG48" s="32">
        <f>IF(AQ48="2",BI48,0)</f>
        <v>0</v>
      </c>
      <c r="AH48" s="32">
        <f>IF(AQ48="0",BJ48,0)</f>
        <v>0</v>
      </c>
      <c r="AI48" s="28"/>
      <c r="AJ48" s="15">
        <f>IF(AN48=0,K48,0)</f>
        <v>0</v>
      </c>
      <c r="AK48" s="15">
        <f>IF(AN48=15,K48,0)</f>
        <v>0</v>
      </c>
      <c r="AL48" s="15">
        <f>IF(AN48=21,K48,0)</f>
        <v>0</v>
      </c>
      <c r="AN48" s="32">
        <v>21</v>
      </c>
      <c r="AO48" s="32">
        <f>H48*0.858382886149384</f>
        <v>0</v>
      </c>
      <c r="AP48" s="32">
        <f>H48*(1-0.858382886149384)</f>
        <v>0</v>
      </c>
      <c r="AQ48" s="26" t="s">
        <v>13</v>
      </c>
      <c r="AV48" s="32">
        <f>AW48+AX48</f>
        <v>0</v>
      </c>
      <c r="AW48" s="32">
        <f>G48*AO48</f>
        <v>0</v>
      </c>
      <c r="AX48" s="32">
        <f>G48*AP48</f>
        <v>0</v>
      </c>
      <c r="AY48" s="33" t="s">
        <v>184</v>
      </c>
      <c r="AZ48" s="33" t="s">
        <v>190</v>
      </c>
      <c r="BA48" s="28" t="s">
        <v>194</v>
      </c>
      <c r="BC48" s="32">
        <f>AW48+AX48</f>
        <v>0</v>
      </c>
      <c r="BD48" s="32">
        <f>H48/(100-BE48)*100</f>
        <v>0</v>
      </c>
      <c r="BE48" s="32">
        <v>0</v>
      </c>
      <c r="BF48" s="32">
        <f>48</f>
        <v>48</v>
      </c>
      <c r="BH48" s="15">
        <f>G48*AO48</f>
        <v>0</v>
      </c>
      <c r="BI48" s="15">
        <f>G48*AP48</f>
        <v>0</v>
      </c>
      <c r="BJ48" s="15">
        <f>G48*H48</f>
        <v>0</v>
      </c>
    </row>
    <row r="49" spans="1:62" ht="12.75">
      <c r="A49" s="4" t="s">
        <v>37</v>
      </c>
      <c r="B49" s="4" t="s">
        <v>82</v>
      </c>
      <c r="C49" s="85" t="s">
        <v>132</v>
      </c>
      <c r="D49" s="86"/>
      <c r="E49" s="86"/>
      <c r="F49" s="4" t="s">
        <v>150</v>
      </c>
      <c r="G49" s="15">
        <v>2</v>
      </c>
      <c r="H49" s="15">
        <v>0</v>
      </c>
      <c r="I49" s="15">
        <f>G49*AO49</f>
        <v>0</v>
      </c>
      <c r="J49" s="15">
        <f>G49*AP49</f>
        <v>0</v>
      </c>
      <c r="K49" s="15">
        <f>G49*H49</f>
        <v>0</v>
      </c>
      <c r="L49" s="26" t="s">
        <v>167</v>
      </c>
      <c r="Z49" s="32">
        <f>IF(AQ49="5",BJ49,0)</f>
        <v>0</v>
      </c>
      <c r="AB49" s="32">
        <f>IF(AQ49="1",BH49,0)</f>
        <v>0</v>
      </c>
      <c r="AC49" s="32">
        <f>IF(AQ49="1",BI49,0)</f>
        <v>0</v>
      </c>
      <c r="AD49" s="32">
        <f>IF(AQ49="7",BH49,0)</f>
        <v>0</v>
      </c>
      <c r="AE49" s="32">
        <f>IF(AQ49="7",BI49,0)</f>
        <v>0</v>
      </c>
      <c r="AF49" s="32">
        <f>IF(AQ49="2",BH49,0)</f>
        <v>0</v>
      </c>
      <c r="AG49" s="32">
        <f>IF(AQ49="2",BI49,0)</f>
        <v>0</v>
      </c>
      <c r="AH49" s="32">
        <f>IF(AQ49="0",BJ49,0)</f>
        <v>0</v>
      </c>
      <c r="AI49" s="28"/>
      <c r="AJ49" s="15">
        <f>IF(AN49=0,K49,0)</f>
        <v>0</v>
      </c>
      <c r="AK49" s="15">
        <f>IF(AN49=15,K49,0)</f>
        <v>0</v>
      </c>
      <c r="AL49" s="15">
        <f>IF(AN49=21,K49,0)</f>
        <v>0</v>
      </c>
      <c r="AN49" s="32">
        <v>21</v>
      </c>
      <c r="AO49" s="32">
        <f>H49*0.421017811704835</f>
        <v>0</v>
      </c>
      <c r="AP49" s="32">
        <f>H49*(1-0.421017811704835)</f>
        <v>0</v>
      </c>
      <c r="AQ49" s="26" t="s">
        <v>13</v>
      </c>
      <c r="AV49" s="32">
        <f>AW49+AX49</f>
        <v>0</v>
      </c>
      <c r="AW49" s="32">
        <f>G49*AO49</f>
        <v>0</v>
      </c>
      <c r="AX49" s="32">
        <f>G49*AP49</f>
        <v>0</v>
      </c>
      <c r="AY49" s="33" t="s">
        <v>184</v>
      </c>
      <c r="AZ49" s="33" t="s">
        <v>190</v>
      </c>
      <c r="BA49" s="28" t="s">
        <v>194</v>
      </c>
      <c r="BC49" s="32">
        <f>AW49+AX49</f>
        <v>0</v>
      </c>
      <c r="BD49" s="32">
        <f>H49/(100-BE49)*100</f>
        <v>0</v>
      </c>
      <c r="BE49" s="32">
        <v>0</v>
      </c>
      <c r="BF49" s="32">
        <f>49</f>
        <v>49</v>
      </c>
      <c r="BH49" s="15">
        <f>G49*AO49</f>
        <v>0</v>
      </c>
      <c r="BI49" s="15">
        <f>G49*AP49</f>
        <v>0</v>
      </c>
      <c r="BJ49" s="15">
        <f>G49*H49</f>
        <v>0</v>
      </c>
    </row>
    <row r="50" spans="1:62" ht="12.75">
      <c r="A50" s="4" t="s">
        <v>38</v>
      </c>
      <c r="B50" s="4" t="s">
        <v>83</v>
      </c>
      <c r="C50" s="85" t="s">
        <v>133</v>
      </c>
      <c r="D50" s="86"/>
      <c r="E50" s="86"/>
      <c r="F50" s="4" t="s">
        <v>150</v>
      </c>
      <c r="G50" s="15">
        <v>2</v>
      </c>
      <c r="H50" s="15">
        <v>0</v>
      </c>
      <c r="I50" s="15">
        <f>G50*AO50</f>
        <v>0</v>
      </c>
      <c r="J50" s="15">
        <f>G50*AP50</f>
        <v>0</v>
      </c>
      <c r="K50" s="15">
        <f>G50*H50</f>
        <v>0</v>
      </c>
      <c r="L50" s="26" t="s">
        <v>167</v>
      </c>
      <c r="Z50" s="32">
        <f>IF(AQ50="5",BJ50,0)</f>
        <v>0</v>
      </c>
      <c r="AB50" s="32">
        <f>IF(AQ50="1",BH50,0)</f>
        <v>0</v>
      </c>
      <c r="AC50" s="32">
        <f>IF(AQ50="1",BI50,0)</f>
        <v>0</v>
      </c>
      <c r="AD50" s="32">
        <f>IF(AQ50="7",BH50,0)</f>
        <v>0</v>
      </c>
      <c r="AE50" s="32">
        <f>IF(AQ50="7",BI50,0)</f>
        <v>0</v>
      </c>
      <c r="AF50" s="32">
        <f>IF(AQ50="2",BH50,0)</f>
        <v>0</v>
      </c>
      <c r="AG50" s="32">
        <f>IF(AQ50="2",BI50,0)</f>
        <v>0</v>
      </c>
      <c r="AH50" s="32">
        <f>IF(AQ50="0",BJ50,0)</f>
        <v>0</v>
      </c>
      <c r="AI50" s="28"/>
      <c r="AJ50" s="15">
        <f>IF(AN50=0,K50,0)</f>
        <v>0</v>
      </c>
      <c r="AK50" s="15">
        <f>IF(AN50=15,K50,0)</f>
        <v>0</v>
      </c>
      <c r="AL50" s="15">
        <f>IF(AN50=21,K50,0)</f>
        <v>0</v>
      </c>
      <c r="AN50" s="32">
        <v>21</v>
      </c>
      <c r="AO50" s="32">
        <f>H50*0.822147807078741</f>
        <v>0</v>
      </c>
      <c r="AP50" s="32">
        <f>H50*(1-0.822147807078741)</f>
        <v>0</v>
      </c>
      <c r="AQ50" s="26" t="s">
        <v>13</v>
      </c>
      <c r="AV50" s="32">
        <f>AW50+AX50</f>
        <v>0</v>
      </c>
      <c r="AW50" s="32">
        <f>G50*AO50</f>
        <v>0</v>
      </c>
      <c r="AX50" s="32">
        <f>G50*AP50</f>
        <v>0</v>
      </c>
      <c r="AY50" s="33" t="s">
        <v>184</v>
      </c>
      <c r="AZ50" s="33" t="s">
        <v>190</v>
      </c>
      <c r="BA50" s="28" t="s">
        <v>194</v>
      </c>
      <c r="BC50" s="32">
        <f>AW50+AX50</f>
        <v>0</v>
      </c>
      <c r="BD50" s="32">
        <f>H50/(100-BE50)*100</f>
        <v>0</v>
      </c>
      <c r="BE50" s="32">
        <v>0</v>
      </c>
      <c r="BF50" s="32">
        <f>50</f>
        <v>50</v>
      </c>
      <c r="BH50" s="15">
        <f>G50*AO50</f>
        <v>0</v>
      </c>
      <c r="BI50" s="15">
        <f>G50*AP50</f>
        <v>0</v>
      </c>
      <c r="BJ50" s="15">
        <f>G50*H50</f>
        <v>0</v>
      </c>
    </row>
    <row r="51" spans="1:47" ht="12.75">
      <c r="A51" s="6"/>
      <c r="B51" s="13" t="s">
        <v>84</v>
      </c>
      <c r="C51" s="89" t="s">
        <v>134</v>
      </c>
      <c r="D51" s="90"/>
      <c r="E51" s="90"/>
      <c r="F51" s="6" t="s">
        <v>6</v>
      </c>
      <c r="G51" s="6" t="s">
        <v>6</v>
      </c>
      <c r="H51" s="6" t="s">
        <v>6</v>
      </c>
      <c r="I51" s="35">
        <f>SUM(I52:I52)</f>
        <v>0</v>
      </c>
      <c r="J51" s="35">
        <f>SUM(J52:J52)</f>
        <v>0</v>
      </c>
      <c r="K51" s="35">
        <f>SUM(K52:K52)</f>
        <v>0</v>
      </c>
      <c r="L51" s="28"/>
      <c r="AI51" s="28"/>
      <c r="AS51" s="35">
        <f>SUM(AJ52:AJ52)</f>
        <v>0</v>
      </c>
      <c r="AT51" s="35">
        <f>SUM(AK52:AK52)</f>
        <v>0</v>
      </c>
      <c r="AU51" s="35">
        <f>SUM(AL52:AL52)</f>
        <v>0</v>
      </c>
    </row>
    <row r="52" spans="1:62" ht="12.75">
      <c r="A52" s="4" t="s">
        <v>39</v>
      </c>
      <c r="B52" s="4" t="s">
        <v>85</v>
      </c>
      <c r="C52" s="85" t="s">
        <v>135</v>
      </c>
      <c r="D52" s="86"/>
      <c r="E52" s="86"/>
      <c r="F52" s="4" t="s">
        <v>148</v>
      </c>
      <c r="G52" s="15">
        <v>22</v>
      </c>
      <c r="H52" s="15">
        <v>0</v>
      </c>
      <c r="I52" s="15">
        <f>G52*AO52</f>
        <v>0</v>
      </c>
      <c r="J52" s="15">
        <f>G52*AP52</f>
        <v>0</v>
      </c>
      <c r="K52" s="15">
        <f>G52*H52</f>
        <v>0</v>
      </c>
      <c r="L52" s="26" t="s">
        <v>167</v>
      </c>
      <c r="Z52" s="32">
        <f>IF(AQ52="5",BJ52,0)</f>
        <v>0</v>
      </c>
      <c r="AB52" s="32">
        <f>IF(AQ52="1",BH52,0)</f>
        <v>0</v>
      </c>
      <c r="AC52" s="32">
        <f>IF(AQ52="1",BI52,0)</f>
        <v>0</v>
      </c>
      <c r="AD52" s="32">
        <f>IF(AQ52="7",BH52,0)</f>
        <v>0</v>
      </c>
      <c r="AE52" s="32">
        <f>IF(AQ52="7",BI52,0)</f>
        <v>0</v>
      </c>
      <c r="AF52" s="32">
        <f>IF(AQ52="2",BH52,0)</f>
        <v>0</v>
      </c>
      <c r="AG52" s="32">
        <f>IF(AQ52="2",BI52,0)</f>
        <v>0</v>
      </c>
      <c r="AH52" s="32">
        <f>IF(AQ52="0",BJ52,0)</f>
        <v>0</v>
      </c>
      <c r="AI52" s="28"/>
      <c r="AJ52" s="15">
        <f>IF(AN52=0,K52,0)</f>
        <v>0</v>
      </c>
      <c r="AK52" s="15">
        <f>IF(AN52=15,K52,0)</f>
        <v>0</v>
      </c>
      <c r="AL52" s="15">
        <f>IF(AN52=21,K52,0)</f>
        <v>0</v>
      </c>
      <c r="AN52" s="32">
        <v>21</v>
      </c>
      <c r="AO52" s="32">
        <f>H52*0.220326409495549</f>
        <v>0</v>
      </c>
      <c r="AP52" s="32">
        <f>H52*(1-0.220326409495549)</f>
        <v>0</v>
      </c>
      <c r="AQ52" s="26" t="s">
        <v>13</v>
      </c>
      <c r="AV52" s="32">
        <f>AW52+AX52</f>
        <v>0</v>
      </c>
      <c r="AW52" s="32">
        <f>G52*AO52</f>
        <v>0</v>
      </c>
      <c r="AX52" s="32">
        <f>G52*AP52</f>
        <v>0</v>
      </c>
      <c r="AY52" s="33" t="s">
        <v>185</v>
      </c>
      <c r="AZ52" s="33" t="s">
        <v>191</v>
      </c>
      <c r="BA52" s="28" t="s">
        <v>194</v>
      </c>
      <c r="BC52" s="32">
        <f>AW52+AX52</f>
        <v>0</v>
      </c>
      <c r="BD52" s="32">
        <f>H52/(100-BE52)*100</f>
        <v>0</v>
      </c>
      <c r="BE52" s="32">
        <v>0</v>
      </c>
      <c r="BF52" s="32">
        <f>52</f>
        <v>52</v>
      </c>
      <c r="BH52" s="15">
        <f>G52*AO52</f>
        <v>0</v>
      </c>
      <c r="BI52" s="15">
        <f>G52*AP52</f>
        <v>0</v>
      </c>
      <c r="BJ52" s="15">
        <f>G52*H52</f>
        <v>0</v>
      </c>
    </row>
    <row r="53" spans="1:47" ht="12.75">
      <c r="A53" s="6"/>
      <c r="B53" s="13" t="s">
        <v>86</v>
      </c>
      <c r="C53" s="89" t="s">
        <v>136</v>
      </c>
      <c r="D53" s="90"/>
      <c r="E53" s="90"/>
      <c r="F53" s="6" t="s">
        <v>6</v>
      </c>
      <c r="G53" s="6" t="s">
        <v>6</v>
      </c>
      <c r="H53" s="6" t="s">
        <v>6</v>
      </c>
      <c r="I53" s="35">
        <f>SUM(I54:I54)</f>
        <v>0</v>
      </c>
      <c r="J53" s="35">
        <f>SUM(J54:J54)</f>
        <v>0</v>
      </c>
      <c r="K53" s="35">
        <f>SUM(K54:K54)</f>
        <v>0</v>
      </c>
      <c r="L53" s="28"/>
      <c r="AI53" s="28"/>
      <c r="AS53" s="35">
        <f>SUM(AJ54:AJ54)</f>
        <v>0</v>
      </c>
      <c r="AT53" s="35">
        <f>SUM(AK54:AK54)</f>
        <v>0</v>
      </c>
      <c r="AU53" s="35">
        <f>SUM(AL54:AL54)</f>
        <v>0</v>
      </c>
    </row>
    <row r="54" spans="1:62" ht="12.75">
      <c r="A54" s="4" t="s">
        <v>40</v>
      </c>
      <c r="B54" s="4" t="s">
        <v>87</v>
      </c>
      <c r="C54" s="85" t="s">
        <v>137</v>
      </c>
      <c r="D54" s="86"/>
      <c r="E54" s="86"/>
      <c r="F54" s="4" t="s">
        <v>150</v>
      </c>
      <c r="G54" s="15">
        <v>1</v>
      </c>
      <c r="H54" s="15">
        <v>0</v>
      </c>
      <c r="I54" s="15">
        <f>G54*AO54</f>
        <v>0</v>
      </c>
      <c r="J54" s="15">
        <f>G54*AP54</f>
        <v>0</v>
      </c>
      <c r="K54" s="15">
        <f>G54*H54</f>
        <v>0</v>
      </c>
      <c r="L54" s="26" t="s">
        <v>167</v>
      </c>
      <c r="Z54" s="32">
        <f>IF(AQ54="5",BJ54,0)</f>
        <v>0</v>
      </c>
      <c r="AB54" s="32">
        <f>IF(AQ54="1",BH54,0)</f>
        <v>0</v>
      </c>
      <c r="AC54" s="32">
        <f>IF(AQ54="1",BI54,0)</f>
        <v>0</v>
      </c>
      <c r="AD54" s="32">
        <f>IF(AQ54="7",BH54,0)</f>
        <v>0</v>
      </c>
      <c r="AE54" s="32">
        <f>IF(AQ54="7",BI54,0)</f>
        <v>0</v>
      </c>
      <c r="AF54" s="32">
        <f>IF(AQ54="2",BH54,0)</f>
        <v>0</v>
      </c>
      <c r="AG54" s="32">
        <f>IF(AQ54="2",BI54,0)</f>
        <v>0</v>
      </c>
      <c r="AH54" s="32">
        <f>IF(AQ54="0",BJ54,0)</f>
        <v>0</v>
      </c>
      <c r="AI54" s="28"/>
      <c r="AJ54" s="15">
        <f>IF(AN54=0,K54,0)</f>
        <v>0</v>
      </c>
      <c r="AK54" s="15">
        <f>IF(AN54=15,K54,0)</f>
        <v>0</v>
      </c>
      <c r="AL54" s="15">
        <f>IF(AN54=21,K54,0)</f>
        <v>0</v>
      </c>
      <c r="AN54" s="32">
        <v>21</v>
      </c>
      <c r="AO54" s="32">
        <f>H54*0.209529177461785</f>
        <v>0</v>
      </c>
      <c r="AP54" s="32">
        <f>H54*(1-0.209529177461785)</f>
        <v>0</v>
      </c>
      <c r="AQ54" s="26" t="s">
        <v>8</v>
      </c>
      <c r="AV54" s="32">
        <f>AW54+AX54</f>
        <v>0</v>
      </c>
      <c r="AW54" s="32">
        <f>G54*AO54</f>
        <v>0</v>
      </c>
      <c r="AX54" s="32">
        <f>G54*AP54</f>
        <v>0</v>
      </c>
      <c r="AY54" s="33" t="s">
        <v>186</v>
      </c>
      <c r="AZ54" s="33" t="s">
        <v>192</v>
      </c>
      <c r="BA54" s="28" t="s">
        <v>194</v>
      </c>
      <c r="BC54" s="32">
        <f>AW54+AX54</f>
        <v>0</v>
      </c>
      <c r="BD54" s="32">
        <f>H54/(100-BE54)*100</f>
        <v>0</v>
      </c>
      <c r="BE54" s="32">
        <v>0</v>
      </c>
      <c r="BF54" s="32">
        <f>54</f>
        <v>54</v>
      </c>
      <c r="BH54" s="15">
        <f>G54*AO54</f>
        <v>0</v>
      </c>
      <c r="BI54" s="15">
        <f>G54*AP54</f>
        <v>0</v>
      </c>
      <c r="BJ54" s="15">
        <f>G54*H54</f>
        <v>0</v>
      </c>
    </row>
    <row r="55" spans="1:47" ht="12.75">
      <c r="A55" s="6"/>
      <c r="B55" s="13"/>
      <c r="C55" s="89" t="s">
        <v>138</v>
      </c>
      <c r="D55" s="90"/>
      <c r="E55" s="90"/>
      <c r="F55" s="6" t="s">
        <v>6</v>
      </c>
      <c r="G55" s="6" t="s">
        <v>6</v>
      </c>
      <c r="H55" s="6" t="s">
        <v>6</v>
      </c>
      <c r="I55" s="35">
        <f>SUM(I56:I57)</f>
        <v>0</v>
      </c>
      <c r="J55" s="35">
        <f>SUM(J56:J57)</f>
        <v>0</v>
      </c>
      <c r="K55" s="35">
        <f>SUM(K56:K57)</f>
        <v>0</v>
      </c>
      <c r="L55" s="28"/>
      <c r="AI55" s="28"/>
      <c r="AS55" s="35">
        <f>SUM(AJ56:AJ57)</f>
        <v>0</v>
      </c>
      <c r="AT55" s="35">
        <f>SUM(AK56:AK57)</f>
        <v>0</v>
      </c>
      <c r="AU55" s="35">
        <f>SUM(AL56:AL57)</f>
        <v>0</v>
      </c>
    </row>
    <row r="56" spans="1:62" ht="12.75">
      <c r="A56" s="5" t="s">
        <v>41</v>
      </c>
      <c r="B56" s="5" t="s">
        <v>88</v>
      </c>
      <c r="C56" s="87" t="s">
        <v>139</v>
      </c>
      <c r="D56" s="88"/>
      <c r="E56" s="88"/>
      <c r="F56" s="5" t="s">
        <v>149</v>
      </c>
      <c r="G56" s="16">
        <v>1</v>
      </c>
      <c r="H56" s="16">
        <v>0</v>
      </c>
      <c r="I56" s="16">
        <f>G56*AO56</f>
        <v>0</v>
      </c>
      <c r="J56" s="16">
        <f>G56*AP56</f>
        <v>0</v>
      </c>
      <c r="K56" s="16">
        <f>G56*H56</f>
        <v>0</v>
      </c>
      <c r="L56" s="27"/>
      <c r="Z56" s="32">
        <f>IF(AQ56="5",BJ56,0)</f>
        <v>0</v>
      </c>
      <c r="AB56" s="32">
        <f>IF(AQ56="1",BH56,0)</f>
        <v>0</v>
      </c>
      <c r="AC56" s="32">
        <f>IF(AQ56="1",BI56,0)</f>
        <v>0</v>
      </c>
      <c r="AD56" s="32">
        <f>IF(AQ56="7",BH56,0)</f>
        <v>0</v>
      </c>
      <c r="AE56" s="32">
        <f>IF(AQ56="7",BI56,0)</f>
        <v>0</v>
      </c>
      <c r="AF56" s="32">
        <f>IF(AQ56="2",BH56,0)</f>
        <v>0</v>
      </c>
      <c r="AG56" s="32">
        <f>IF(AQ56="2",BI56,0)</f>
        <v>0</v>
      </c>
      <c r="AH56" s="32">
        <f>IF(AQ56="0",BJ56,0)</f>
        <v>0</v>
      </c>
      <c r="AI56" s="28"/>
      <c r="AJ56" s="16">
        <f>IF(AN56=0,K56,0)</f>
        <v>0</v>
      </c>
      <c r="AK56" s="16">
        <f>IF(AN56=15,K56,0)</f>
        <v>0</v>
      </c>
      <c r="AL56" s="16">
        <f>IF(AN56=21,K56,0)</f>
        <v>0</v>
      </c>
      <c r="AN56" s="32">
        <v>21</v>
      </c>
      <c r="AO56" s="32">
        <f>H56*1</f>
        <v>0</v>
      </c>
      <c r="AP56" s="32">
        <f>H56*(1-1)</f>
        <v>0</v>
      </c>
      <c r="AQ56" s="27" t="s">
        <v>177</v>
      </c>
      <c r="AV56" s="32">
        <f>AW56+AX56</f>
        <v>0</v>
      </c>
      <c r="AW56" s="32">
        <f>G56*AO56</f>
        <v>0</v>
      </c>
      <c r="AX56" s="32">
        <f>G56*AP56</f>
        <v>0</v>
      </c>
      <c r="AY56" s="33" t="s">
        <v>187</v>
      </c>
      <c r="AZ56" s="33" t="s">
        <v>193</v>
      </c>
      <c r="BA56" s="28" t="s">
        <v>194</v>
      </c>
      <c r="BC56" s="32">
        <f>AW56+AX56</f>
        <v>0</v>
      </c>
      <c r="BD56" s="32">
        <f>H56/(100-BE56)*100</f>
        <v>0</v>
      </c>
      <c r="BE56" s="32">
        <v>0</v>
      </c>
      <c r="BF56" s="32">
        <f>56</f>
        <v>56</v>
      </c>
      <c r="BH56" s="16">
        <f>G56*AO56</f>
        <v>0</v>
      </c>
      <c r="BI56" s="16">
        <f>G56*AP56</f>
        <v>0</v>
      </c>
      <c r="BJ56" s="16">
        <f>G56*H56</f>
        <v>0</v>
      </c>
    </row>
    <row r="57" spans="1:62" ht="12.75">
      <c r="A57" s="7" t="s">
        <v>42</v>
      </c>
      <c r="B57" s="7" t="s">
        <v>89</v>
      </c>
      <c r="C57" s="91" t="s">
        <v>140</v>
      </c>
      <c r="D57" s="92"/>
      <c r="E57" s="92"/>
      <c r="F57" s="7" t="s">
        <v>151</v>
      </c>
      <c r="G57" s="17">
        <v>1</v>
      </c>
      <c r="H57" s="17">
        <v>0</v>
      </c>
      <c r="I57" s="17">
        <f>G57*AO57</f>
        <v>0</v>
      </c>
      <c r="J57" s="17">
        <f>G57*AP57</f>
        <v>0</v>
      </c>
      <c r="K57" s="17">
        <f>G57*H57</f>
        <v>0</v>
      </c>
      <c r="L57" s="29"/>
      <c r="Z57" s="32">
        <f>IF(AQ57="5",BJ57,0)</f>
        <v>0</v>
      </c>
      <c r="AB57" s="32">
        <f>IF(AQ57="1",BH57,0)</f>
        <v>0</v>
      </c>
      <c r="AC57" s="32">
        <f>IF(AQ57="1",BI57,0)</f>
        <v>0</v>
      </c>
      <c r="AD57" s="32">
        <f>IF(AQ57="7",BH57,0)</f>
        <v>0</v>
      </c>
      <c r="AE57" s="32">
        <f>IF(AQ57="7",BI57,0)</f>
        <v>0</v>
      </c>
      <c r="AF57" s="32">
        <f>IF(AQ57="2",BH57,0)</f>
        <v>0</v>
      </c>
      <c r="AG57" s="32">
        <f>IF(AQ57="2",BI57,0)</f>
        <v>0</v>
      </c>
      <c r="AH57" s="32">
        <f>IF(AQ57="0",BJ57,0)</f>
        <v>0</v>
      </c>
      <c r="AI57" s="28"/>
      <c r="AJ57" s="16">
        <f>IF(AN57=0,K57,0)</f>
        <v>0</v>
      </c>
      <c r="AK57" s="16">
        <f>IF(AN57=15,K57,0)</f>
        <v>0</v>
      </c>
      <c r="AL57" s="16">
        <f>IF(AN57=21,K57,0)</f>
        <v>0</v>
      </c>
      <c r="AN57" s="32">
        <v>21</v>
      </c>
      <c r="AO57" s="32">
        <f>H57*1</f>
        <v>0</v>
      </c>
      <c r="AP57" s="32">
        <f>H57*(1-1)</f>
        <v>0</v>
      </c>
      <c r="AQ57" s="27" t="s">
        <v>177</v>
      </c>
      <c r="AV57" s="32">
        <f>AW57+AX57</f>
        <v>0</v>
      </c>
      <c r="AW57" s="32">
        <f>G57*AO57</f>
        <v>0</v>
      </c>
      <c r="AX57" s="32">
        <f>G57*AP57</f>
        <v>0</v>
      </c>
      <c r="AY57" s="33" t="s">
        <v>187</v>
      </c>
      <c r="AZ57" s="33" t="s">
        <v>193</v>
      </c>
      <c r="BA57" s="28" t="s">
        <v>194</v>
      </c>
      <c r="BC57" s="32">
        <f>AW57+AX57</f>
        <v>0</v>
      </c>
      <c r="BD57" s="32">
        <f>H57/(100-BE57)*100</f>
        <v>0</v>
      </c>
      <c r="BE57" s="32">
        <v>0</v>
      </c>
      <c r="BF57" s="32">
        <f>57</f>
        <v>57</v>
      </c>
      <c r="BH57" s="16">
        <f>G57*AO57</f>
        <v>0</v>
      </c>
      <c r="BI57" s="16">
        <f>G57*AP57</f>
        <v>0</v>
      </c>
      <c r="BJ57" s="16">
        <f>G57*H57</f>
        <v>0</v>
      </c>
    </row>
    <row r="58" spans="1:12" ht="12.75">
      <c r="A58" s="8"/>
      <c r="B58" s="8"/>
      <c r="C58" s="8"/>
      <c r="D58" s="8"/>
      <c r="E58" s="8"/>
      <c r="F58" s="8"/>
      <c r="G58" s="8"/>
      <c r="H58" s="8"/>
      <c r="I58" s="93" t="s">
        <v>162</v>
      </c>
      <c r="J58" s="94"/>
      <c r="K58" s="36">
        <f>K12+K17+K19+K24+K36+K38+K45+K51+K53+K55</f>
        <v>0</v>
      </c>
      <c r="L58" s="8"/>
    </row>
    <row r="59" ht="11.25" customHeight="1">
      <c r="A59" s="9" t="s">
        <v>43</v>
      </c>
    </row>
    <row r="60" spans="1:12" ht="12.75">
      <c r="A60" s="68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</sheetData>
  <sheetProtection/>
  <mergeCells count="76">
    <mergeCell ref="C57:E57"/>
    <mergeCell ref="I58:J58"/>
    <mergeCell ref="A60:L60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37"/>
      <c r="C1" s="95" t="s">
        <v>212</v>
      </c>
      <c r="D1" s="56"/>
      <c r="E1" s="56"/>
      <c r="F1" s="56"/>
      <c r="G1" s="56"/>
      <c r="H1" s="56"/>
      <c r="I1" s="56"/>
    </row>
    <row r="2" spans="1:10" ht="12.75">
      <c r="A2" s="57" t="s">
        <v>1</v>
      </c>
      <c r="B2" s="58"/>
      <c r="C2" s="61" t="str">
        <f>'Stavební rozpočet'!C2</f>
        <v>Oprava kotelny v objektu ZŠ Louka</v>
      </c>
      <c r="D2" s="94"/>
      <c r="E2" s="64" t="s">
        <v>153</v>
      </c>
      <c r="F2" s="64" t="str">
        <f>'Stavební rozpočet'!I2</f>
        <v>Obec Louka u Litvínova</v>
      </c>
      <c r="G2" s="58"/>
      <c r="H2" s="64" t="s">
        <v>237</v>
      </c>
      <c r="I2" s="96"/>
      <c r="J2" s="30"/>
    </row>
    <row r="3" spans="1:10" ht="12.75">
      <c r="A3" s="59"/>
      <c r="B3" s="60"/>
      <c r="C3" s="62"/>
      <c r="D3" s="62"/>
      <c r="E3" s="60"/>
      <c r="F3" s="60"/>
      <c r="G3" s="60"/>
      <c r="H3" s="60"/>
      <c r="I3" s="66"/>
      <c r="J3" s="30"/>
    </row>
    <row r="4" spans="1:10" ht="12.75">
      <c r="A4" s="67" t="s">
        <v>2</v>
      </c>
      <c r="B4" s="60"/>
      <c r="C4" s="68" t="str">
        <f>'Stavební rozpočet'!C4</f>
        <v>Vytápění</v>
      </c>
      <c r="D4" s="60"/>
      <c r="E4" s="68" t="s">
        <v>154</v>
      </c>
      <c r="F4" s="68"/>
      <c r="G4" s="60"/>
      <c r="H4" s="68" t="s">
        <v>237</v>
      </c>
      <c r="I4" s="97"/>
      <c r="J4" s="30"/>
    </row>
    <row r="5" spans="1:10" ht="12.75">
      <c r="A5" s="59"/>
      <c r="B5" s="60"/>
      <c r="C5" s="60"/>
      <c r="D5" s="60"/>
      <c r="E5" s="60"/>
      <c r="F5" s="60"/>
      <c r="G5" s="60"/>
      <c r="H5" s="60"/>
      <c r="I5" s="66"/>
      <c r="J5" s="30"/>
    </row>
    <row r="6" spans="1:10" ht="12.75">
      <c r="A6" s="67" t="s">
        <v>3</v>
      </c>
      <c r="B6" s="60"/>
      <c r="C6" s="68" t="str">
        <f>'Stavební rozpočet'!C6</f>
        <v>Louka u Litvínova, Husova 163</v>
      </c>
      <c r="D6" s="60"/>
      <c r="E6" s="68" t="s">
        <v>155</v>
      </c>
      <c r="F6" s="68"/>
      <c r="G6" s="60"/>
      <c r="H6" s="68" t="s">
        <v>237</v>
      </c>
      <c r="I6" s="97"/>
      <c r="J6" s="30"/>
    </row>
    <row r="7" spans="1:10" ht="12.75">
      <c r="A7" s="59"/>
      <c r="B7" s="60"/>
      <c r="C7" s="60"/>
      <c r="D7" s="60"/>
      <c r="E7" s="60"/>
      <c r="F7" s="60"/>
      <c r="G7" s="60"/>
      <c r="H7" s="60"/>
      <c r="I7" s="66"/>
      <c r="J7" s="30"/>
    </row>
    <row r="8" spans="1:10" ht="12.75">
      <c r="A8" s="67" t="s">
        <v>142</v>
      </c>
      <c r="B8" s="60"/>
      <c r="C8" s="68" t="str">
        <f>'Stavební rozpočet'!F4</f>
        <v> </v>
      </c>
      <c r="D8" s="60"/>
      <c r="E8" s="68" t="s">
        <v>143</v>
      </c>
      <c r="F8" s="68" t="str">
        <f>'Stavební rozpočet'!F6</f>
        <v> </v>
      </c>
      <c r="G8" s="60"/>
      <c r="H8" s="69" t="s">
        <v>238</v>
      </c>
      <c r="I8" s="97"/>
      <c r="J8" s="30"/>
    </row>
    <row r="9" spans="1:10" ht="12.75">
      <c r="A9" s="59"/>
      <c r="B9" s="60"/>
      <c r="C9" s="60"/>
      <c r="D9" s="60"/>
      <c r="E9" s="60"/>
      <c r="F9" s="60"/>
      <c r="G9" s="60"/>
      <c r="H9" s="60"/>
      <c r="I9" s="66"/>
      <c r="J9" s="30"/>
    </row>
    <row r="10" spans="1:10" ht="12.75">
      <c r="A10" s="67" t="s">
        <v>4</v>
      </c>
      <c r="B10" s="60"/>
      <c r="C10" s="68"/>
      <c r="D10" s="60"/>
      <c r="E10" s="68" t="s">
        <v>156</v>
      </c>
      <c r="F10" s="68"/>
      <c r="G10" s="60"/>
      <c r="H10" s="69" t="s">
        <v>239</v>
      </c>
      <c r="I10" s="100"/>
      <c r="J10" s="3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101"/>
      <c r="J11" s="30"/>
    </row>
    <row r="12" spans="1:9" ht="23.25" customHeight="1">
      <c r="A12" s="102" t="s">
        <v>198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38" t="s">
        <v>199</v>
      </c>
      <c r="B13" s="104" t="s">
        <v>210</v>
      </c>
      <c r="C13" s="105"/>
      <c r="D13" s="38" t="s">
        <v>213</v>
      </c>
      <c r="E13" s="104" t="s">
        <v>222</v>
      </c>
      <c r="F13" s="105"/>
      <c r="G13" s="38" t="s">
        <v>223</v>
      </c>
      <c r="H13" s="104" t="s">
        <v>240</v>
      </c>
      <c r="I13" s="105"/>
      <c r="J13" s="30"/>
    </row>
    <row r="14" spans="1:10" ht="15" customHeight="1">
      <c r="A14" s="39" t="s">
        <v>200</v>
      </c>
      <c r="B14" s="43" t="s">
        <v>211</v>
      </c>
      <c r="C14" s="47">
        <f>SUM('Stavební rozpočet'!AB12:AB57)</f>
        <v>0</v>
      </c>
      <c r="D14" s="106" t="s">
        <v>214</v>
      </c>
      <c r="E14" s="107"/>
      <c r="F14" s="47">
        <v>0</v>
      </c>
      <c r="G14" s="106" t="s">
        <v>224</v>
      </c>
      <c r="H14" s="107"/>
      <c r="I14" s="47">
        <v>0</v>
      </c>
      <c r="J14" s="30"/>
    </row>
    <row r="15" spans="1:10" ht="15" customHeight="1">
      <c r="A15" s="40"/>
      <c r="B15" s="43" t="s">
        <v>163</v>
      </c>
      <c r="C15" s="47">
        <f>SUM('Stavební rozpočet'!AC12:AC57)</f>
        <v>0</v>
      </c>
      <c r="D15" s="106" t="s">
        <v>215</v>
      </c>
      <c r="E15" s="107"/>
      <c r="F15" s="47">
        <v>0</v>
      </c>
      <c r="G15" s="106" t="s">
        <v>225</v>
      </c>
      <c r="H15" s="107"/>
      <c r="I15" s="47">
        <v>0</v>
      </c>
      <c r="J15" s="30"/>
    </row>
    <row r="16" spans="1:10" ht="15" customHeight="1">
      <c r="A16" s="39" t="s">
        <v>201</v>
      </c>
      <c r="B16" s="43" t="s">
        <v>211</v>
      </c>
      <c r="C16" s="47">
        <f>SUM('Stavební rozpočet'!AD12:AD57)</f>
        <v>0</v>
      </c>
      <c r="D16" s="106" t="s">
        <v>216</v>
      </c>
      <c r="E16" s="107"/>
      <c r="F16" s="47">
        <v>0</v>
      </c>
      <c r="G16" s="106" t="s">
        <v>226</v>
      </c>
      <c r="H16" s="107"/>
      <c r="I16" s="47">
        <v>0</v>
      </c>
      <c r="J16" s="30"/>
    </row>
    <row r="17" spans="1:10" ht="15" customHeight="1">
      <c r="A17" s="40"/>
      <c r="B17" s="43" t="s">
        <v>163</v>
      </c>
      <c r="C17" s="47">
        <f>SUM('Stavební rozpočet'!AE12:AE57)</f>
        <v>0</v>
      </c>
      <c r="D17" s="106"/>
      <c r="E17" s="107"/>
      <c r="F17" s="48"/>
      <c r="G17" s="106" t="s">
        <v>227</v>
      </c>
      <c r="H17" s="107"/>
      <c r="I17" s="47">
        <v>0</v>
      </c>
      <c r="J17" s="30"/>
    </row>
    <row r="18" spans="1:10" ht="15" customHeight="1">
      <c r="A18" s="39" t="s">
        <v>202</v>
      </c>
      <c r="B18" s="43" t="s">
        <v>211</v>
      </c>
      <c r="C18" s="47">
        <f>SUM('Stavební rozpočet'!AF12:AF57)</f>
        <v>0</v>
      </c>
      <c r="D18" s="106"/>
      <c r="E18" s="107"/>
      <c r="F18" s="48"/>
      <c r="G18" s="106" t="s">
        <v>228</v>
      </c>
      <c r="H18" s="107"/>
      <c r="I18" s="47">
        <v>0</v>
      </c>
      <c r="J18" s="30"/>
    </row>
    <row r="19" spans="1:10" ht="15" customHeight="1">
      <c r="A19" s="40"/>
      <c r="B19" s="43" t="s">
        <v>163</v>
      </c>
      <c r="C19" s="47">
        <f>SUM('Stavební rozpočet'!AG12:AG57)</f>
        <v>0</v>
      </c>
      <c r="D19" s="106"/>
      <c r="E19" s="107"/>
      <c r="F19" s="48"/>
      <c r="G19" s="106" t="s">
        <v>229</v>
      </c>
      <c r="H19" s="107"/>
      <c r="I19" s="47">
        <v>0</v>
      </c>
      <c r="J19" s="30"/>
    </row>
    <row r="20" spans="1:10" ht="15" customHeight="1">
      <c r="A20" s="108" t="s">
        <v>138</v>
      </c>
      <c r="B20" s="109"/>
      <c r="C20" s="47">
        <f>SUM('Stavební rozpočet'!AH12:AH57)</f>
        <v>0</v>
      </c>
      <c r="D20" s="106"/>
      <c r="E20" s="107"/>
      <c r="F20" s="48"/>
      <c r="G20" s="106"/>
      <c r="H20" s="107"/>
      <c r="I20" s="48"/>
      <c r="J20" s="30"/>
    </row>
    <row r="21" spans="1:10" ht="15" customHeight="1">
      <c r="A21" s="108" t="s">
        <v>203</v>
      </c>
      <c r="B21" s="109"/>
      <c r="C21" s="47">
        <f>SUM('Stavební rozpočet'!Z12:Z57)</f>
        <v>0</v>
      </c>
      <c r="D21" s="106"/>
      <c r="E21" s="107"/>
      <c r="F21" s="48"/>
      <c r="G21" s="106"/>
      <c r="H21" s="107"/>
      <c r="I21" s="48"/>
      <c r="J21" s="30"/>
    </row>
    <row r="22" spans="1:10" ht="16.5" customHeight="1">
      <c r="A22" s="108" t="s">
        <v>204</v>
      </c>
      <c r="B22" s="109"/>
      <c r="C22" s="47">
        <f>SUM(C14:C21)</f>
        <v>0</v>
      </c>
      <c r="D22" s="108" t="s">
        <v>217</v>
      </c>
      <c r="E22" s="109"/>
      <c r="F22" s="47">
        <f>SUM(F14:F21)</f>
        <v>0</v>
      </c>
      <c r="G22" s="108" t="s">
        <v>230</v>
      </c>
      <c r="H22" s="109"/>
      <c r="I22" s="47">
        <f>SUM(I14:I21)</f>
        <v>0</v>
      </c>
      <c r="J22" s="30"/>
    </row>
    <row r="23" spans="1:10" ht="15" customHeight="1">
      <c r="A23" s="8"/>
      <c r="B23" s="8"/>
      <c r="C23" s="45"/>
      <c r="D23" s="108" t="s">
        <v>218</v>
      </c>
      <c r="E23" s="109"/>
      <c r="F23" s="49">
        <v>0</v>
      </c>
      <c r="G23" s="108" t="s">
        <v>231</v>
      </c>
      <c r="H23" s="109"/>
      <c r="I23" s="47">
        <v>0</v>
      </c>
      <c r="J23" s="30"/>
    </row>
    <row r="24" spans="4:9" ht="15" customHeight="1">
      <c r="D24" s="8"/>
      <c r="E24" s="8"/>
      <c r="F24" s="50"/>
      <c r="G24" s="108" t="s">
        <v>232</v>
      </c>
      <c r="H24" s="109"/>
      <c r="I24" s="52"/>
    </row>
    <row r="25" spans="6:10" ht="15" customHeight="1">
      <c r="F25" s="51"/>
      <c r="G25" s="108" t="s">
        <v>233</v>
      </c>
      <c r="H25" s="109"/>
      <c r="I25" s="47">
        <v>0</v>
      </c>
      <c r="J25" s="30"/>
    </row>
    <row r="26" spans="1:9" ht="12.75">
      <c r="A26" s="37"/>
      <c r="B26" s="37"/>
      <c r="C26" s="37"/>
      <c r="G26" s="8"/>
      <c r="H26" s="8"/>
      <c r="I26" s="8"/>
    </row>
    <row r="27" spans="1:9" ht="15" customHeight="1">
      <c r="A27" s="110" t="s">
        <v>205</v>
      </c>
      <c r="B27" s="111"/>
      <c r="C27" s="53">
        <f>SUM('Stavební rozpočet'!AJ12:AJ57)</f>
        <v>0</v>
      </c>
      <c r="D27" s="46"/>
      <c r="E27" s="37"/>
      <c r="F27" s="37"/>
      <c r="G27" s="37"/>
      <c r="H27" s="37"/>
      <c r="I27" s="37"/>
    </row>
    <row r="28" spans="1:10" ht="15" customHeight="1">
      <c r="A28" s="110" t="s">
        <v>206</v>
      </c>
      <c r="B28" s="111"/>
      <c r="C28" s="53">
        <f>SUM('Stavební rozpočet'!AK12:AK57)</f>
        <v>0</v>
      </c>
      <c r="D28" s="110" t="s">
        <v>219</v>
      </c>
      <c r="E28" s="111"/>
      <c r="F28" s="53">
        <f>ROUND(C28*(15/100),2)</f>
        <v>0</v>
      </c>
      <c r="G28" s="110" t="s">
        <v>234</v>
      </c>
      <c r="H28" s="111"/>
      <c r="I28" s="53">
        <f>SUM(C27:C29)</f>
        <v>0</v>
      </c>
      <c r="J28" s="30"/>
    </row>
    <row r="29" spans="1:10" ht="15" customHeight="1">
      <c r="A29" s="110" t="s">
        <v>207</v>
      </c>
      <c r="B29" s="111"/>
      <c r="C29" s="53">
        <f>SUM('Stavební rozpočet'!AL12:AL57)+(F22+I22+F23+I23+I24+I25)</f>
        <v>0</v>
      </c>
      <c r="D29" s="110" t="s">
        <v>220</v>
      </c>
      <c r="E29" s="111"/>
      <c r="F29" s="53">
        <f>ROUND(C29*(21/100),2)</f>
        <v>0</v>
      </c>
      <c r="G29" s="110" t="s">
        <v>235</v>
      </c>
      <c r="H29" s="111"/>
      <c r="I29" s="53">
        <f>SUM(F28:F29)+I28</f>
        <v>0</v>
      </c>
      <c r="J29" s="30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112" t="s">
        <v>208</v>
      </c>
      <c r="B31" s="113"/>
      <c r="C31" s="114"/>
      <c r="D31" s="112" t="s">
        <v>221</v>
      </c>
      <c r="E31" s="113"/>
      <c r="F31" s="114"/>
      <c r="G31" s="112" t="s">
        <v>236</v>
      </c>
      <c r="H31" s="113"/>
      <c r="I31" s="114"/>
      <c r="J31" s="31"/>
    </row>
    <row r="32" spans="1:10" ht="14.25" customHeight="1">
      <c r="A32" s="115"/>
      <c r="B32" s="116"/>
      <c r="C32" s="117"/>
      <c r="D32" s="115"/>
      <c r="E32" s="116"/>
      <c r="F32" s="117"/>
      <c r="G32" s="115"/>
      <c r="H32" s="116"/>
      <c r="I32" s="117"/>
      <c r="J32" s="31"/>
    </row>
    <row r="33" spans="1:10" ht="14.25" customHeight="1">
      <c r="A33" s="115"/>
      <c r="B33" s="116"/>
      <c r="C33" s="117"/>
      <c r="D33" s="115"/>
      <c r="E33" s="116"/>
      <c r="F33" s="117"/>
      <c r="G33" s="115"/>
      <c r="H33" s="116"/>
      <c r="I33" s="117"/>
      <c r="J33" s="31"/>
    </row>
    <row r="34" spans="1:10" ht="14.25" customHeight="1">
      <c r="A34" s="115"/>
      <c r="B34" s="116"/>
      <c r="C34" s="117"/>
      <c r="D34" s="115"/>
      <c r="E34" s="116"/>
      <c r="F34" s="117"/>
      <c r="G34" s="115"/>
      <c r="H34" s="116"/>
      <c r="I34" s="117"/>
      <c r="J34" s="31"/>
    </row>
    <row r="35" spans="1:10" ht="14.25" customHeight="1">
      <c r="A35" s="118" t="s">
        <v>209</v>
      </c>
      <c r="B35" s="119"/>
      <c r="C35" s="120"/>
      <c r="D35" s="118" t="s">
        <v>209</v>
      </c>
      <c r="E35" s="119"/>
      <c r="F35" s="120"/>
      <c r="G35" s="118" t="s">
        <v>209</v>
      </c>
      <c r="H35" s="119"/>
      <c r="I35" s="120"/>
      <c r="J35" s="31"/>
    </row>
    <row r="36" spans="1:9" ht="11.25" customHeight="1">
      <c r="A36" s="42" t="s">
        <v>43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68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dcterms:modified xsi:type="dcterms:W3CDTF">2020-06-08T08:58:50Z</dcterms:modified>
  <cp:category/>
  <cp:version/>
  <cp:contentType/>
  <cp:contentStatus/>
</cp:coreProperties>
</file>