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okumenty\Dotace - oprava Husova a RZ\"/>
    </mc:Choice>
  </mc:AlternateContent>
  <xr:revisionPtr revIDLastSave="0" documentId="8_{122C7B4A-3405-42A0-A21D-5AC22970FC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avební_rozpočet" sheetId="1" r:id="rId1"/>
    <sheet name="Krycí_list_rozpočt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0" i="2" l="1"/>
  <c r="F10" i="2"/>
  <c r="F8" i="2"/>
  <c r="C8" i="2"/>
  <c r="C6" i="2"/>
  <c r="F4" i="2"/>
  <c r="F2" i="2"/>
  <c r="C2" i="2"/>
  <c r="I22" i="2"/>
  <c r="F22" i="2"/>
  <c r="BJ55" i="1"/>
  <c r="BF55" i="1"/>
  <c r="BD55" i="1"/>
  <c r="AP55" i="1"/>
  <c r="AX55" i="1" s="1"/>
  <c r="AO55" i="1"/>
  <c r="BH55" i="1" s="1"/>
  <c r="AB55" i="1" s="1"/>
  <c r="AL55" i="1"/>
  <c r="AK55" i="1"/>
  <c r="AJ55" i="1"/>
  <c r="AH55" i="1"/>
  <c r="AG55" i="1"/>
  <c r="AF55" i="1"/>
  <c r="AE55" i="1"/>
  <c r="AD55" i="1"/>
  <c r="Z55" i="1"/>
  <c r="K55" i="1"/>
  <c r="J55" i="1"/>
  <c r="I55" i="1"/>
  <c r="BJ54" i="1"/>
  <c r="BF54" i="1"/>
  <c r="BD54" i="1"/>
  <c r="AX54" i="1"/>
  <c r="AP54" i="1"/>
  <c r="BI54" i="1" s="1"/>
  <c r="AC54" i="1" s="1"/>
  <c r="AO54" i="1"/>
  <c r="AW54" i="1" s="1"/>
  <c r="AK54" i="1"/>
  <c r="AJ54" i="1"/>
  <c r="AS50" i="1" s="1"/>
  <c r="AH54" i="1"/>
  <c r="AG54" i="1"/>
  <c r="AF54" i="1"/>
  <c r="AE54" i="1"/>
  <c r="AD54" i="1"/>
  <c r="Z54" i="1"/>
  <c r="K54" i="1"/>
  <c r="AL54" i="1" s="1"/>
  <c r="J54" i="1"/>
  <c r="BJ53" i="1"/>
  <c r="BF53" i="1"/>
  <c r="BD53" i="1"/>
  <c r="AP53" i="1"/>
  <c r="AX53" i="1" s="1"/>
  <c r="AO53" i="1"/>
  <c r="BH53" i="1" s="1"/>
  <c r="AB53" i="1" s="1"/>
  <c r="AK53" i="1"/>
  <c r="AJ53" i="1"/>
  <c r="AH53" i="1"/>
  <c r="AG53" i="1"/>
  <c r="AF53" i="1"/>
  <c r="AE53" i="1"/>
  <c r="AD53" i="1"/>
  <c r="Z53" i="1"/>
  <c r="K53" i="1"/>
  <c r="AL53" i="1" s="1"/>
  <c r="BJ52" i="1"/>
  <c r="BF52" i="1"/>
  <c r="BD52" i="1"/>
  <c r="AP52" i="1"/>
  <c r="BI52" i="1" s="1"/>
  <c r="AC52" i="1" s="1"/>
  <c r="AO52" i="1"/>
  <c r="AW52" i="1" s="1"/>
  <c r="AK52" i="1"/>
  <c r="AJ52" i="1"/>
  <c r="AH52" i="1"/>
  <c r="AG52" i="1"/>
  <c r="AF52" i="1"/>
  <c r="AE52" i="1"/>
  <c r="AD52" i="1"/>
  <c r="Z52" i="1"/>
  <c r="K52" i="1"/>
  <c r="AL52" i="1" s="1"/>
  <c r="I52" i="1"/>
  <c r="BJ51" i="1"/>
  <c r="BF51" i="1"/>
  <c r="BD51" i="1"/>
  <c r="AW51" i="1"/>
  <c r="AP51" i="1"/>
  <c r="AX51" i="1" s="1"/>
  <c r="AO51" i="1"/>
  <c r="BH51" i="1" s="1"/>
  <c r="AB51" i="1" s="1"/>
  <c r="AK51" i="1"/>
  <c r="AT50" i="1" s="1"/>
  <c r="AJ51" i="1"/>
  <c r="AH51" i="1"/>
  <c r="AG51" i="1"/>
  <c r="AF51" i="1"/>
  <c r="AE51" i="1"/>
  <c r="AD51" i="1"/>
  <c r="Z51" i="1"/>
  <c r="K51" i="1"/>
  <c r="AL51" i="1" s="1"/>
  <c r="J51" i="1"/>
  <c r="I51" i="1"/>
  <c r="K50" i="1"/>
  <c r="BJ48" i="1"/>
  <c r="BF48" i="1"/>
  <c r="BD48" i="1"/>
  <c r="AP48" i="1"/>
  <c r="BI48" i="1" s="1"/>
  <c r="AO48" i="1"/>
  <c r="AW48" i="1" s="1"/>
  <c r="AK48" i="1"/>
  <c r="AJ48" i="1"/>
  <c r="AH48" i="1"/>
  <c r="AG48" i="1"/>
  <c r="AF48" i="1"/>
  <c r="AE48" i="1"/>
  <c r="AD48" i="1"/>
  <c r="AC48" i="1"/>
  <c r="AB48" i="1"/>
  <c r="Z48" i="1"/>
  <c r="K48" i="1"/>
  <c r="AL48" i="1" s="1"/>
  <c r="I48" i="1"/>
  <c r="BJ46" i="1"/>
  <c r="Z46" i="1" s="1"/>
  <c r="BF46" i="1"/>
  <c r="BD46" i="1"/>
  <c r="AP46" i="1"/>
  <c r="AX46" i="1" s="1"/>
  <c r="AO46" i="1"/>
  <c r="BH46" i="1" s="1"/>
  <c r="AL46" i="1"/>
  <c r="AK46" i="1"/>
  <c r="AJ46" i="1"/>
  <c r="AH46" i="1"/>
  <c r="AG46" i="1"/>
  <c r="AF46" i="1"/>
  <c r="AE46" i="1"/>
  <c r="AD46" i="1"/>
  <c r="AC46" i="1"/>
  <c r="AB46" i="1"/>
  <c r="K46" i="1"/>
  <c r="J46" i="1"/>
  <c r="I46" i="1"/>
  <c r="BJ44" i="1"/>
  <c r="BF44" i="1"/>
  <c r="BD44" i="1"/>
  <c r="AX44" i="1"/>
  <c r="AP44" i="1"/>
  <c r="BI44" i="1" s="1"/>
  <c r="AO44" i="1"/>
  <c r="AW44" i="1" s="1"/>
  <c r="AK44" i="1"/>
  <c r="AJ44" i="1"/>
  <c r="AH44" i="1"/>
  <c r="AG44" i="1"/>
  <c r="AF44" i="1"/>
  <c r="AE44" i="1"/>
  <c r="AD44" i="1"/>
  <c r="AC44" i="1"/>
  <c r="AB44" i="1"/>
  <c r="Z44" i="1"/>
  <c r="K44" i="1"/>
  <c r="AL44" i="1" s="1"/>
  <c r="J44" i="1"/>
  <c r="BJ42" i="1"/>
  <c r="Z42" i="1" s="1"/>
  <c r="BF42" i="1"/>
  <c r="BD42" i="1"/>
  <c r="AP42" i="1"/>
  <c r="AX42" i="1" s="1"/>
  <c r="AO42" i="1"/>
  <c r="BH42" i="1" s="1"/>
  <c r="AK42" i="1"/>
  <c r="AJ42" i="1"/>
  <c r="AH42" i="1"/>
  <c r="AG42" i="1"/>
  <c r="AF42" i="1"/>
  <c r="AE42" i="1"/>
  <c r="AD42" i="1"/>
  <c r="AC42" i="1"/>
  <c r="AB42" i="1"/>
  <c r="K42" i="1"/>
  <c r="K41" i="1" s="1"/>
  <c r="AT41" i="1"/>
  <c r="BJ39" i="1"/>
  <c r="BF39" i="1"/>
  <c r="BD39" i="1"/>
  <c r="AX39" i="1"/>
  <c r="AP39" i="1"/>
  <c r="BI39" i="1" s="1"/>
  <c r="AO39" i="1"/>
  <c r="AW39" i="1" s="1"/>
  <c r="AK39" i="1"/>
  <c r="AJ39" i="1"/>
  <c r="AH39" i="1"/>
  <c r="AG39" i="1"/>
  <c r="AF39" i="1"/>
  <c r="AE39" i="1"/>
  <c r="AD39" i="1"/>
  <c r="AC39" i="1"/>
  <c r="AB39" i="1"/>
  <c r="Z39" i="1"/>
  <c r="K39" i="1"/>
  <c r="AL39" i="1" s="1"/>
  <c r="AU38" i="1" s="1"/>
  <c r="AT38" i="1"/>
  <c r="AS38" i="1"/>
  <c r="BJ36" i="1"/>
  <c r="BF36" i="1"/>
  <c r="BD36" i="1"/>
  <c r="AW36" i="1"/>
  <c r="BC36" i="1" s="1"/>
  <c r="AP36" i="1"/>
  <c r="AX36" i="1" s="1"/>
  <c r="AO36" i="1"/>
  <c r="BH36" i="1" s="1"/>
  <c r="AB36" i="1" s="1"/>
  <c r="AK36" i="1"/>
  <c r="AJ36" i="1"/>
  <c r="AH36" i="1"/>
  <c r="AG36" i="1"/>
  <c r="AF36" i="1"/>
  <c r="AE36" i="1"/>
  <c r="AD36" i="1"/>
  <c r="Z36" i="1"/>
  <c r="K36" i="1"/>
  <c r="AL36" i="1" s="1"/>
  <c r="J36" i="1"/>
  <c r="I36" i="1"/>
  <c r="BJ34" i="1"/>
  <c r="BF34" i="1"/>
  <c r="BD34" i="1"/>
  <c r="AP34" i="1"/>
  <c r="BI34" i="1" s="1"/>
  <c r="AC34" i="1" s="1"/>
  <c r="AO34" i="1"/>
  <c r="AW34" i="1" s="1"/>
  <c r="AK34" i="1"/>
  <c r="AJ34" i="1"/>
  <c r="AH34" i="1"/>
  <c r="AG34" i="1"/>
  <c r="AF34" i="1"/>
  <c r="AE34" i="1"/>
  <c r="AD34" i="1"/>
  <c r="Z34" i="1"/>
  <c r="K34" i="1"/>
  <c r="AL34" i="1" s="1"/>
  <c r="BJ32" i="1"/>
  <c r="BF32" i="1"/>
  <c r="BD32" i="1"/>
  <c r="AP32" i="1"/>
  <c r="AX32" i="1" s="1"/>
  <c r="AO32" i="1"/>
  <c r="BH32" i="1" s="1"/>
  <c r="AB32" i="1" s="1"/>
  <c r="AK32" i="1"/>
  <c r="AJ32" i="1"/>
  <c r="AS31" i="1" s="1"/>
  <c r="AH32" i="1"/>
  <c r="AG32" i="1"/>
  <c r="AF32" i="1"/>
  <c r="AE32" i="1"/>
  <c r="AD32" i="1"/>
  <c r="Z32" i="1"/>
  <c r="K32" i="1"/>
  <c r="K31" i="1" s="1"/>
  <c r="AT31" i="1"/>
  <c r="BJ28" i="1"/>
  <c r="BF28" i="1"/>
  <c r="BD28" i="1"/>
  <c r="AX28" i="1"/>
  <c r="AP28" i="1"/>
  <c r="BI28" i="1" s="1"/>
  <c r="AC28" i="1" s="1"/>
  <c r="AO28" i="1"/>
  <c r="AW28" i="1" s="1"/>
  <c r="AK28" i="1"/>
  <c r="AJ28" i="1"/>
  <c r="AH28" i="1"/>
  <c r="AG28" i="1"/>
  <c r="AF28" i="1"/>
  <c r="AE28" i="1"/>
  <c r="AD28" i="1"/>
  <c r="Z28" i="1"/>
  <c r="K28" i="1"/>
  <c r="AL28" i="1" s="1"/>
  <c r="J28" i="1"/>
  <c r="BJ26" i="1"/>
  <c r="BF26" i="1"/>
  <c r="BD26" i="1"/>
  <c r="AP26" i="1"/>
  <c r="AX26" i="1" s="1"/>
  <c r="AO26" i="1"/>
  <c r="BH26" i="1" s="1"/>
  <c r="AB26" i="1" s="1"/>
  <c r="AK26" i="1"/>
  <c r="AJ26" i="1"/>
  <c r="AS25" i="1" s="1"/>
  <c r="AH26" i="1"/>
  <c r="AG26" i="1"/>
  <c r="AF26" i="1"/>
  <c r="AE26" i="1"/>
  <c r="AD26" i="1"/>
  <c r="Z26" i="1"/>
  <c r="K26" i="1"/>
  <c r="AT25" i="1"/>
  <c r="BJ23" i="1"/>
  <c r="BF23" i="1"/>
  <c r="BD23" i="1"/>
  <c r="AX23" i="1"/>
  <c r="AP23" i="1"/>
  <c r="BI23" i="1" s="1"/>
  <c r="AC23" i="1" s="1"/>
  <c r="AO23" i="1"/>
  <c r="AW23" i="1" s="1"/>
  <c r="AK23" i="1"/>
  <c r="AJ23" i="1"/>
  <c r="AS22" i="1" s="1"/>
  <c r="AH23" i="1"/>
  <c r="AG23" i="1"/>
  <c r="AF23" i="1"/>
  <c r="AE23" i="1"/>
  <c r="AD23" i="1"/>
  <c r="Z23" i="1"/>
  <c r="K23" i="1"/>
  <c r="AL23" i="1" s="1"/>
  <c r="AU22" i="1" s="1"/>
  <c r="J23" i="1"/>
  <c r="J22" i="1" s="1"/>
  <c r="AT22" i="1"/>
  <c r="BJ20" i="1"/>
  <c r="BF20" i="1"/>
  <c r="BD20" i="1"/>
  <c r="AP20" i="1"/>
  <c r="AX20" i="1" s="1"/>
  <c r="AO20" i="1"/>
  <c r="BH20" i="1" s="1"/>
  <c r="AB20" i="1" s="1"/>
  <c r="AL20" i="1"/>
  <c r="AK20" i="1"/>
  <c r="AJ20" i="1"/>
  <c r="AH20" i="1"/>
  <c r="AG20" i="1"/>
  <c r="AF20" i="1"/>
  <c r="AE20" i="1"/>
  <c r="AD20" i="1"/>
  <c r="Z20" i="1"/>
  <c r="K20" i="1"/>
  <c r="J20" i="1"/>
  <c r="I20" i="1"/>
  <c r="BJ18" i="1"/>
  <c r="BF18" i="1"/>
  <c r="BD18" i="1"/>
  <c r="AX18" i="1"/>
  <c r="AP18" i="1"/>
  <c r="BI18" i="1" s="1"/>
  <c r="AC18" i="1" s="1"/>
  <c r="AO18" i="1"/>
  <c r="AW18" i="1" s="1"/>
  <c r="AK18" i="1"/>
  <c r="AJ18" i="1"/>
  <c r="AH18" i="1"/>
  <c r="AG18" i="1"/>
  <c r="AF18" i="1"/>
  <c r="AE18" i="1"/>
  <c r="AD18" i="1"/>
  <c r="Z18" i="1"/>
  <c r="K18" i="1"/>
  <c r="AL18" i="1" s="1"/>
  <c r="J18" i="1"/>
  <c r="BJ16" i="1"/>
  <c r="BF16" i="1"/>
  <c r="BD16" i="1"/>
  <c r="AP16" i="1"/>
  <c r="BI16" i="1" s="1"/>
  <c r="AC16" i="1" s="1"/>
  <c r="AO16" i="1"/>
  <c r="I16" i="1" s="1"/>
  <c r="AK16" i="1"/>
  <c r="AJ16" i="1"/>
  <c r="AH16" i="1"/>
  <c r="AG16" i="1"/>
  <c r="AF16" i="1"/>
  <c r="AE16" i="1"/>
  <c r="AD16" i="1"/>
  <c r="Z16" i="1"/>
  <c r="K16" i="1"/>
  <c r="AT15" i="1"/>
  <c r="BJ13" i="1"/>
  <c r="BF13" i="1"/>
  <c r="BD13" i="1"/>
  <c r="AP13" i="1"/>
  <c r="BI13" i="1" s="1"/>
  <c r="AC13" i="1" s="1"/>
  <c r="AO13" i="1"/>
  <c r="AW13" i="1" s="1"/>
  <c r="AK13" i="1"/>
  <c r="C28" i="2" s="1"/>
  <c r="F28" i="2" s="1"/>
  <c r="AJ13" i="1"/>
  <c r="AH13" i="1"/>
  <c r="C20" i="2" s="1"/>
  <c r="AG13" i="1"/>
  <c r="AF13" i="1"/>
  <c r="C18" i="2" s="1"/>
  <c r="AE13" i="1"/>
  <c r="AD13" i="1"/>
  <c r="C16" i="2" s="1"/>
  <c r="Z13" i="1"/>
  <c r="K13" i="1"/>
  <c r="AL13" i="1" s="1"/>
  <c r="AU12" i="1" s="1"/>
  <c r="J13" i="1"/>
  <c r="J12" i="1" s="1"/>
  <c r="AT12" i="1"/>
  <c r="AS12" i="1"/>
  <c r="C17" i="2" l="1"/>
  <c r="C27" i="2"/>
  <c r="C19" i="2"/>
  <c r="AX13" i="1"/>
  <c r="AS15" i="1"/>
  <c r="K25" i="1"/>
  <c r="K15" i="1"/>
  <c r="AW20" i="1"/>
  <c r="J34" i="1"/>
  <c r="AX34" i="1"/>
  <c r="J39" i="1"/>
  <c r="J38" i="1" s="1"/>
  <c r="AS41" i="1"/>
  <c r="AW46" i="1"/>
  <c r="BC46" i="1" s="1"/>
  <c r="AW55" i="1"/>
  <c r="AV55" i="1" s="1"/>
  <c r="AV36" i="1"/>
  <c r="BC28" i="1"/>
  <c r="AV28" i="1"/>
  <c r="BC34" i="1"/>
  <c r="AV34" i="1"/>
  <c r="BC13" i="1"/>
  <c r="AV13" i="1"/>
  <c r="AU50" i="1"/>
  <c r="C21" i="2"/>
  <c r="AV51" i="1"/>
  <c r="BC18" i="1"/>
  <c r="AV18" i="1"/>
  <c r="BC23" i="1"/>
  <c r="AV23" i="1"/>
  <c r="BC39" i="1"/>
  <c r="AV39" i="1"/>
  <c r="BC54" i="1"/>
  <c r="AV54" i="1"/>
  <c r="AV20" i="1"/>
  <c r="BC55" i="1"/>
  <c r="BC44" i="1"/>
  <c r="AV44" i="1"/>
  <c r="BH16" i="1"/>
  <c r="AB16" i="1" s="1"/>
  <c r="K12" i="1"/>
  <c r="I13" i="1"/>
  <c r="I12" i="1" s="1"/>
  <c r="J16" i="1"/>
  <c r="J15" i="1" s="1"/>
  <c r="AL16" i="1"/>
  <c r="AU15" i="1" s="1"/>
  <c r="AW16" i="1"/>
  <c r="I18" i="1"/>
  <c r="I15" i="1" s="1"/>
  <c r="BC20" i="1"/>
  <c r="BI20" i="1"/>
  <c r="AC20" i="1" s="1"/>
  <c r="K22" i="1"/>
  <c r="I23" i="1"/>
  <c r="I22" i="1" s="1"/>
  <c r="J26" i="1"/>
  <c r="J25" i="1" s="1"/>
  <c r="AL26" i="1"/>
  <c r="AU25" i="1" s="1"/>
  <c r="AW26" i="1"/>
  <c r="I28" i="1"/>
  <c r="J32" i="1"/>
  <c r="AL32" i="1"/>
  <c r="AU31" i="1" s="1"/>
  <c r="AW32" i="1"/>
  <c r="I34" i="1"/>
  <c r="BI36" i="1"/>
  <c r="AC36" i="1" s="1"/>
  <c r="K38" i="1"/>
  <c r="I39" i="1"/>
  <c r="I38" i="1" s="1"/>
  <c r="J42" i="1"/>
  <c r="J41" i="1" s="1"/>
  <c r="AL42" i="1"/>
  <c r="AU41" i="1" s="1"/>
  <c r="AW42" i="1"/>
  <c r="I44" i="1"/>
  <c r="BI46" i="1"/>
  <c r="AX48" i="1"/>
  <c r="BC48" i="1" s="1"/>
  <c r="BH48" i="1"/>
  <c r="BC51" i="1"/>
  <c r="BI51" i="1"/>
  <c r="AC51" i="1" s="1"/>
  <c r="AX52" i="1"/>
  <c r="BC52" i="1" s="1"/>
  <c r="BH52" i="1"/>
  <c r="AB52" i="1" s="1"/>
  <c r="J53" i="1"/>
  <c r="AW53" i="1"/>
  <c r="I54" i="1"/>
  <c r="BI55" i="1"/>
  <c r="AC55" i="1" s="1"/>
  <c r="AX16" i="1"/>
  <c r="I26" i="1"/>
  <c r="I25" i="1" s="1"/>
  <c r="I32" i="1"/>
  <c r="I42" i="1"/>
  <c r="I41" i="1" s="1"/>
  <c r="J48" i="1"/>
  <c r="J52" i="1"/>
  <c r="J50" i="1" s="1"/>
  <c r="I53" i="1"/>
  <c r="BH13" i="1"/>
  <c r="AB13" i="1" s="1"/>
  <c r="BH18" i="1"/>
  <c r="AB18" i="1" s="1"/>
  <c r="BH23" i="1"/>
  <c r="AB23" i="1" s="1"/>
  <c r="BI26" i="1"/>
  <c r="AC26" i="1" s="1"/>
  <c r="BH28" i="1"/>
  <c r="AB28" i="1" s="1"/>
  <c r="BI32" i="1"/>
  <c r="AC32" i="1" s="1"/>
  <c r="BH34" i="1"/>
  <c r="AB34" i="1" s="1"/>
  <c r="BH39" i="1"/>
  <c r="BI42" i="1"/>
  <c r="BH44" i="1"/>
  <c r="BI53" i="1"/>
  <c r="AC53" i="1" s="1"/>
  <c r="BH54" i="1"/>
  <c r="AB54" i="1" s="1"/>
  <c r="I50" i="1" l="1"/>
  <c r="C29" i="2"/>
  <c r="F29" i="2" s="1"/>
  <c r="AV46" i="1"/>
  <c r="J31" i="1"/>
  <c r="AV52" i="1"/>
  <c r="AV48" i="1"/>
  <c r="C15" i="2"/>
  <c r="BC42" i="1"/>
  <c r="AV42" i="1"/>
  <c r="I31" i="1"/>
  <c r="C14" i="2"/>
  <c r="BC53" i="1"/>
  <c r="AV53" i="1"/>
  <c r="BC32" i="1"/>
  <c r="AV32" i="1"/>
  <c r="BC26" i="1"/>
  <c r="AV26" i="1"/>
  <c r="BC16" i="1"/>
  <c r="AV16" i="1"/>
  <c r="K56" i="1"/>
  <c r="C22" i="2" l="1"/>
  <c r="I28" i="2"/>
  <c r="I29" i="2" s="1"/>
</calcChain>
</file>

<file path=xl/sharedStrings.xml><?xml version="1.0" encoding="utf-8"?>
<sst xmlns="http://schemas.openxmlformats.org/spreadsheetml/2006/main" count="349" uniqueCount="192">
  <si>
    <t>Slepý stavební rozpočet</t>
  </si>
  <si>
    <t>Název stavby:</t>
  </si>
  <si>
    <t>Oprava komunikace ulice Husova a Ruských zajatců</t>
  </si>
  <si>
    <t>Doba výstavby:</t>
  </si>
  <si>
    <t xml:space="preserve"> </t>
  </si>
  <si>
    <t>Objednatel:</t>
  </si>
  <si>
    <t>Obec Louka u Litvínova</t>
  </si>
  <si>
    <t>Druh stavby:</t>
  </si>
  <si>
    <t>Začátek výstavby:</t>
  </si>
  <si>
    <t> </t>
  </si>
  <si>
    <t>Projektant:</t>
  </si>
  <si>
    <t>CHEMINVEST  s.r.o.</t>
  </si>
  <si>
    <t>Lokalita:</t>
  </si>
  <si>
    <t>Louka u Litvínova</t>
  </si>
  <si>
    <t>Konec výstavby:</t>
  </si>
  <si>
    <t>Zhotovitel:</t>
  </si>
  <si>
    <t>JKSO:</t>
  </si>
  <si>
    <t>Zpracováno dne:</t>
  </si>
  <si>
    <t>25.02.2019</t>
  </si>
  <si>
    <t>Zpracoval:</t>
  </si>
  <si>
    <t>Kamila Možná</t>
  </si>
  <si>
    <t>Č</t>
  </si>
  <si>
    <t>Kód</t>
  </si>
  <si>
    <t>Zkrácený popis</t>
  </si>
  <si>
    <t>M.j.</t>
  </si>
  <si>
    <t>Množství</t>
  </si>
  <si>
    <t>Jednot.</t>
  </si>
  <si>
    <t>Náklady (Kč)</t>
  </si>
  <si>
    <t>Cenová</t>
  </si>
  <si>
    <t>Rozměry</t>
  </si>
  <si>
    <t>cena 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</si>
  <si>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</si>
  <si>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</si>
  <si>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</si>
  <si>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</si>
  <si>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</si>
  <si>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</si>
  <si>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</si>
  <si>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</si>
  <si>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</si>
  <si>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</si>
  <si>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</si>
  <si>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</si>
  <si>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</si>
  <si>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</si>
  <si>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</si>
  <si>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</si>
  <si>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>11</t>
  </si>
  <si>
    <t>Přípravné a přidružené práce</t>
  </si>
  <si>
    <t>1</t>
  </si>
  <si>
    <t>113151214R00</t>
  </si>
  <si>
    <t>m2</t>
  </si>
  <si>
    <t>RTS II / 2018</t>
  </si>
  <si>
    <t>11_</t>
  </si>
  <si>
    <t>1_</t>
  </si>
  <si>
    <t>_</t>
  </si>
  <si>
    <t>5354;celková plocha;</t>
  </si>
  <si>
    <t>57</t>
  </si>
  <si>
    <t>Kryty pozemních komunikací, letišť a ploch z kameniva nebo živičné</t>
  </si>
  <si>
    <t>2</t>
  </si>
  <si>
    <t>572731111R00</t>
  </si>
  <si>
    <t>Případné vyspravení výtluků krytů asf. recyklátem</t>
  </si>
  <si>
    <t>57_</t>
  </si>
  <si>
    <t>5_</t>
  </si>
  <si>
    <t>1;případné vyspravení výtluků krytů asf. recyklátem;</t>
  </si>
  <si>
    <t>3</t>
  </si>
  <si>
    <t>573211112R00</t>
  </si>
  <si>
    <t>4</t>
  </si>
  <si>
    <t>577112123R00</t>
  </si>
  <si>
    <t>Beton asfalt. ACO 11 S modifik. š.nad 3 m, tl.4 cm</t>
  </si>
  <si>
    <t>59</t>
  </si>
  <si>
    <t>Zálivka</t>
  </si>
  <si>
    <t>5</t>
  </si>
  <si>
    <t>599142111R00</t>
  </si>
  <si>
    <t>Úprava zálivky spár z asfalt. směsi</t>
  </si>
  <si>
    <t>m</t>
  </si>
  <si>
    <t>59_</t>
  </si>
  <si>
    <t>92;viz odříznutí krytu;</t>
  </si>
  <si>
    <t>91</t>
  </si>
  <si>
    <t>Doplňující konstrukce a práce na pozemních komunikacích a zpevněných plochách</t>
  </si>
  <si>
    <t>6</t>
  </si>
  <si>
    <t>919741111R00</t>
  </si>
  <si>
    <t>Ošetření plochy vodou</t>
  </si>
  <si>
    <t>91_</t>
  </si>
  <si>
    <t>9_</t>
  </si>
  <si>
    <t>7</t>
  </si>
  <si>
    <t>919735111R00</t>
  </si>
  <si>
    <t>Řezání stávajícího živičného krytu tl. do 5 cm</t>
  </si>
  <si>
    <t>3,3+11,3+17,5+4,2+2,5+7,2+18+7+7+14</t>
  </si>
  <si>
    <t>;odříznutí krytu;</t>
  </si>
  <si>
    <t>93</t>
  </si>
  <si>
    <t>Různé dokončovací konstrukce a práce inženýrských staveb</t>
  </si>
  <si>
    <t>8</t>
  </si>
  <si>
    <t>938909311R00</t>
  </si>
  <si>
    <t>Odstranění nánosu z povrchu živičného</t>
  </si>
  <si>
    <t>93_</t>
  </si>
  <si>
    <t>9</t>
  </si>
  <si>
    <t>938900011VD</t>
  </si>
  <si>
    <t>Seříznutí krajnic</t>
  </si>
  <si>
    <t>802*2;seříznutí krajnic;</t>
  </si>
  <si>
    <t>10</t>
  </si>
  <si>
    <t>938908411R00</t>
  </si>
  <si>
    <t>Očištění povrchu krytu</t>
  </si>
  <si>
    <t>H22</t>
  </si>
  <si>
    <t>Komunikace pozemní a letiště</t>
  </si>
  <si>
    <t>998225111R00</t>
  </si>
  <si>
    <t>Přesun hmot, pozemní komunikace, kryt živičný</t>
  </si>
  <si>
    <t>t</t>
  </si>
  <si>
    <t>H22_</t>
  </si>
  <si>
    <t>558,25074;viz hmotnost;</t>
  </si>
  <si>
    <t>S</t>
  </si>
  <si>
    <t>Přesuny sutí</t>
  </si>
  <si>
    <t>12</t>
  </si>
  <si>
    <t>979086213R00</t>
  </si>
  <si>
    <t>Nakládání vybouraných hmot na dopravní prostředek</t>
  </si>
  <si>
    <t>S_</t>
  </si>
  <si>
    <t>588,99354;viz hmotnost;</t>
  </si>
  <si>
    <t>13</t>
  </si>
  <si>
    <t>979081111R00</t>
  </si>
  <si>
    <t>Odvoz suti a vybour. hmot na skládku do 1 km</t>
  </si>
  <si>
    <t>14</t>
  </si>
  <si>
    <t>979081121R00</t>
  </si>
  <si>
    <t>Příplatek k odvozu za každý další 1 km</t>
  </si>
  <si>
    <t>588,99354*19;viz hmotnost - odvoz celkem do 20km;</t>
  </si>
  <si>
    <t>15</t>
  </si>
  <si>
    <t>979990112R00</t>
  </si>
  <si>
    <t>Poplatek za skládku suti-obal.kam.-asfalt do 30x30</t>
  </si>
  <si>
    <t>012VD</t>
  </si>
  <si>
    <t>vrn</t>
  </si>
  <si>
    <t>16</t>
  </si>
  <si>
    <t>012111111VD</t>
  </si>
  <si>
    <t>Zařízení staveniště</t>
  </si>
  <si>
    <t>%</t>
  </si>
  <si>
    <t>012VD_</t>
  </si>
  <si>
    <t>0_</t>
  </si>
  <si>
    <t>17</t>
  </si>
  <si>
    <t>012111112VD</t>
  </si>
  <si>
    <t>Územní vlivy</t>
  </si>
  <si>
    <t>18</t>
  </si>
  <si>
    <t>012111113VD</t>
  </si>
  <si>
    <t>Provozní vlivy</t>
  </si>
  <si>
    <t>19</t>
  </si>
  <si>
    <t>012111114VD</t>
  </si>
  <si>
    <t>Technický dozor investora</t>
  </si>
  <si>
    <t>20</t>
  </si>
  <si>
    <t>012111115VD</t>
  </si>
  <si>
    <t>Koordinační přirážka</t>
  </si>
  <si>
    <t>Celkem:</t>
  </si>
  <si>
    <t>Poznámka:</t>
  </si>
  <si>
    <t>Krycí list slepého rozpočtu</t>
  </si>
  <si>
    <t>IČ/DIČ: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</si>
  <si>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</si>
  <si>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</si>
  <si>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</si>
  <si>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</si>
  <si>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</si>
  <si>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</si>
  <si>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</si>
  <si>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</si>
  <si>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</si>
  <si>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</si>
  <si>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</si>
  <si>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</si>
  <si>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Bez pevné podl.</t>
  </si>
  <si>
    <t>Mimostav. doprava</t>
  </si>
  <si>
    <t>PSV</t>
  </si>
  <si>
    <t>Kulturní památka</t>
  </si>
  <si>
    <t>"M"</t>
  </si>
  <si>
    <t>Ostatní</t>
  </si>
  <si>
    <t>NUS z rozpočtu</t>
  </si>
  <si>
    <t>Ostatní materiál</t>
  </si>
  <si>
    <t>Přesun hmot a sutí</t>
  </si>
  <si>
    <t>ZRN celkem</t>
  </si>
  <si>
    <t>DN celkem</t>
  </si>
  <si>
    <t>NUS celkem</t>
  </si>
  <si>
    <t>DN celkem z obj.</t>
  </si>
  <si>
    <t>NUS celkem z obj.</t>
  </si>
  <si>
    <t>ORN celkem</t>
  </si>
  <si>
    <t>ORN celkem z obj.</t>
  </si>
  <si>
    <t>Základ 0%</t>
  </si>
  <si>
    <t>Základ 15%</t>
  </si>
  <si>
    <t>DPH 15%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</si>
  <si>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</si>
  <si>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</si>
  <si>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</si>
  <si>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</si>
  <si>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</si>
  <si>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</si>
  <si>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</si>
  <si>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</si>
  <si>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Fréz.živič.krytu nad 500 m2, bez překážek, tl.4 cm</t>
  </si>
  <si>
    <t>Postřik spojovací emulzní PS-C  0,35 kg/m2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</si>
</sst>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2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93">
    <xf numFmtId="0" fontId="0" fillId="0" borderId="0" xfId="0"/>
    <xf numFmtId="0" fontId="0" fillId="0" borderId="0" xfId="0" applyFont="1" applyAlignment="1">
      <alignment vertical="center"/>
    </xf>
    <xf numFmtId="0" fontId="0" fillId="0" borderId="5" xfId="0" applyFont="1" applyFill="1" applyBorder="1" applyAlignment="1" applyProtection="1">
      <alignment vertical="center"/>
    </xf>
    <xf numFmtId="49" fontId="0" fillId="0" borderId="0" xfId="0" applyNumberFormat="1" applyFont="1" applyFill="1" applyAlignment="1" applyProtection="1">
      <alignment horizontal="left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11" xfId="0" applyNumberFormat="1" applyFont="1" applyFill="1" applyBorder="1" applyAlignment="1" applyProtection="1">
      <alignment horizontal="left" vertical="center"/>
    </xf>
    <xf numFmtId="49" fontId="3" fillId="0" borderId="11" xfId="0" applyNumberFormat="1" applyFont="1" applyFill="1" applyBorder="1" applyAlignment="1" applyProtection="1">
      <alignment horizontal="center" vertic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49" fontId="3" fillId="0" borderId="14" xfId="0" applyNumberFormat="1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vertical="center"/>
    </xf>
    <xf numFmtId="49" fontId="0" fillId="0" borderId="16" xfId="0" applyNumberFormat="1" applyFont="1" applyFill="1" applyBorder="1" applyAlignment="1" applyProtection="1">
      <alignment horizontal="left" vertical="center"/>
    </xf>
    <xf numFmtId="49" fontId="0" fillId="0" borderId="17" xfId="0" applyNumberFormat="1" applyFont="1" applyFill="1" applyBorder="1" applyAlignment="1" applyProtection="1">
      <alignment horizontal="left" vertical="center"/>
    </xf>
    <xf numFmtId="49" fontId="3" fillId="0" borderId="18" xfId="0" applyNumberFormat="1" applyFont="1" applyFill="1" applyBorder="1" applyAlignment="1" applyProtection="1">
      <alignment horizontal="center" vertical="center"/>
    </xf>
    <xf numFmtId="49" fontId="3" fillId="0" borderId="19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Fill="1" applyBorder="1" applyAlignment="1" applyProtection="1">
      <alignment horizontal="center" vertical="center"/>
    </xf>
    <xf numFmtId="49" fontId="3" fillId="0" borderId="21" xfId="0" applyNumberFormat="1" applyFont="1" applyFill="1" applyBorder="1" applyAlignment="1" applyProtection="1">
      <alignment horizontal="center" vertical="center"/>
    </xf>
    <xf numFmtId="49" fontId="3" fillId="0" borderId="22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Alignment="1" applyProtection="1">
      <alignment horizontal="right" vertical="center"/>
    </xf>
    <xf numFmtId="49" fontId="0" fillId="2" borderId="23" xfId="0" applyNumberFormat="1" applyFont="1" applyFill="1" applyBorder="1" applyAlignment="1" applyProtection="1">
      <alignment horizontal="left" vertical="center"/>
    </xf>
    <xf numFmtId="49" fontId="3" fillId="2" borderId="23" xfId="0" applyNumberFormat="1" applyFont="1" applyFill="1" applyBorder="1" applyAlignment="1" applyProtection="1">
      <alignment horizontal="left" vertical="center"/>
    </xf>
    <xf numFmtId="4" fontId="3" fillId="2" borderId="23" xfId="0" applyNumberFormat="1" applyFont="1" applyFill="1" applyBorder="1" applyAlignment="1" applyProtection="1">
      <alignment horizontal="right" vertical="center"/>
    </xf>
    <xf numFmtId="49" fontId="3" fillId="2" borderId="23" xfId="0" applyNumberFormat="1" applyFont="1" applyFill="1" applyBorder="1" applyAlignment="1" applyProtection="1">
      <alignment horizontal="right" vertical="center"/>
    </xf>
    <xf numFmtId="4" fontId="3" fillId="2" borderId="0" xfId="0" applyNumberFormat="1" applyFont="1" applyFill="1" applyAlignment="1" applyProtection="1">
      <alignment horizontal="right" vertical="center"/>
    </xf>
    <xf numFmtId="4" fontId="0" fillId="0" borderId="0" xfId="0" applyNumberFormat="1" applyFont="1" applyFill="1" applyAlignment="1" applyProtection="1">
      <alignment horizontal="right" vertical="center"/>
    </xf>
    <xf numFmtId="49" fontId="0" fillId="0" borderId="0" xfId="0" applyNumberFormat="1" applyFont="1" applyFill="1" applyAlignment="1" applyProtection="1">
      <alignment horizontal="right" vertical="center"/>
    </xf>
    <xf numFmtId="4" fontId="4" fillId="0" borderId="0" xfId="0" applyNumberFormat="1" applyFont="1" applyFill="1" applyAlignment="1" applyProtection="1">
      <alignment horizontal="right" vertical="center"/>
    </xf>
    <xf numFmtId="49" fontId="0" fillId="2" borderId="0" xfId="0" applyNumberFormat="1" applyFont="1" applyFill="1" applyAlignment="1" applyProtection="1">
      <alignment horizontal="left" vertical="center"/>
    </xf>
    <xf numFmtId="49" fontId="3" fillId="2" borderId="0" xfId="0" applyNumberFormat="1" applyFont="1" applyFill="1" applyAlignment="1" applyProtection="1">
      <alignment horizontal="left" vertical="center"/>
    </xf>
    <xf numFmtId="49" fontId="0" fillId="0" borderId="1" xfId="0" applyNumberFormat="1" applyFont="1" applyFill="1" applyBorder="1" applyAlignment="1" applyProtection="1">
      <alignment horizontal="left"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49" fontId="0" fillId="0" borderId="1" xfId="0" applyNumberFormat="1" applyFont="1" applyFill="1" applyBorder="1" applyAlignment="1" applyProtection="1">
      <alignment horizontal="right" vertical="center"/>
    </xf>
    <xf numFmtId="0" fontId="0" fillId="0" borderId="3" xfId="0" applyFont="1" applyFill="1" applyBorder="1" applyAlignment="1" applyProtection="1">
      <alignment vertical="center"/>
    </xf>
    <xf numFmtId="4" fontId="3" fillId="0" borderId="3" xfId="0" applyNumberFormat="1" applyFont="1" applyFill="1" applyBorder="1" applyAlignment="1" applyProtection="1">
      <alignment horizontal="right" vertical="center"/>
    </xf>
    <xf numFmtId="49" fontId="5" fillId="0" borderId="0" xfId="0" applyNumberFormat="1" applyFont="1" applyFill="1" applyAlignment="1" applyProtection="1">
      <alignment horizontal="left" vertical="center"/>
    </xf>
    <xf numFmtId="0" fontId="0" fillId="0" borderId="1" xfId="0" applyFont="1" applyFill="1" applyBorder="1" applyAlignment="1" applyProtection="1"/>
    <xf numFmtId="0" fontId="0" fillId="0" borderId="1" xfId="0" applyFont="1" applyFill="1" applyBorder="1" applyAlignment="1" applyProtection="1">
      <alignment vertical="center"/>
    </xf>
    <xf numFmtId="49" fontId="7" fillId="2" borderId="27" xfId="0" applyNumberFormat="1" applyFont="1" applyFill="1" applyBorder="1" applyAlignment="1" applyProtection="1">
      <alignment horizontal="center" vertical="center"/>
    </xf>
    <xf numFmtId="49" fontId="9" fillId="0" borderId="28" xfId="0" applyNumberFormat="1" applyFont="1" applyFill="1" applyBorder="1" applyAlignment="1" applyProtection="1">
      <alignment horizontal="left" vertical="center"/>
    </xf>
    <xf numFmtId="49" fontId="10" fillId="0" borderId="27" xfId="0" applyNumberFormat="1" applyFont="1" applyFill="1" applyBorder="1" applyAlignment="1" applyProtection="1">
      <alignment horizontal="left" vertical="center"/>
    </xf>
    <xf numFmtId="4" fontId="10" fillId="0" borderId="27" xfId="0" applyNumberFormat="1" applyFont="1" applyFill="1" applyBorder="1" applyAlignment="1" applyProtection="1">
      <alignment horizontal="right" vertical="center"/>
    </xf>
    <xf numFmtId="49" fontId="9" fillId="0" borderId="29" xfId="0" applyNumberFormat="1" applyFont="1" applyFill="1" applyBorder="1" applyAlignment="1" applyProtection="1">
      <alignment horizontal="left" vertical="center"/>
    </xf>
    <xf numFmtId="49" fontId="10" fillId="0" borderId="27" xfId="0" applyNumberFormat="1" applyFont="1" applyFill="1" applyBorder="1" applyAlignment="1" applyProtection="1">
      <alignment horizontal="right" vertical="center"/>
    </xf>
    <xf numFmtId="0" fontId="0" fillId="0" borderId="4" xfId="0" applyFont="1" applyFill="1" applyBorder="1" applyAlignment="1" applyProtection="1">
      <alignment vertical="center"/>
    </xf>
    <xf numFmtId="4" fontId="10" fillId="0" borderId="20" xfId="0" applyNumberFormat="1" applyFont="1" applyFill="1" applyBorder="1" applyAlignment="1" applyProtection="1">
      <alignment horizontal="right" vertical="center"/>
    </xf>
    <xf numFmtId="0" fontId="0" fillId="0" borderId="30" xfId="0" applyFont="1" applyFill="1" applyBorder="1" applyAlignment="1" applyProtection="1">
      <alignment vertical="center"/>
    </xf>
    <xf numFmtId="0" fontId="0" fillId="0" borderId="31" xfId="0" applyFont="1" applyFill="1" applyBorder="1" applyAlignment="1" applyProtection="1">
      <alignment vertical="center"/>
    </xf>
    <xf numFmtId="0" fontId="0" fillId="0" borderId="6" xfId="0" applyFont="1" applyFill="1" applyBorder="1" applyAlignment="1" applyProtection="1">
      <alignment vertical="center"/>
    </xf>
    <xf numFmtId="4" fontId="9" fillId="2" borderId="32" xfId="0" applyNumberFormat="1" applyFont="1" applyFill="1" applyBorder="1" applyAlignment="1" applyProtection="1">
      <alignment horizontal="right" vertical="center"/>
    </xf>
    <xf numFmtId="0" fontId="0" fillId="0" borderId="24" xfId="0" applyFont="1" applyFill="1" applyBorder="1" applyAlignment="1" applyProtection="1">
      <alignment vertical="center"/>
    </xf>
    <xf numFmtId="0" fontId="0" fillId="0" borderId="33" xfId="0" applyFont="1" applyFill="1" applyBorder="1" applyAlignment="1" applyProtection="1">
      <alignment vertical="center"/>
    </xf>
    <xf numFmtId="49" fontId="5" fillId="0" borderId="23" xfId="0" applyNumberFormat="1" applyFont="1" applyFill="1" applyBorder="1" applyAlignment="1" applyProtection="1">
      <alignment horizontal="left" vertical="center"/>
    </xf>
    <xf numFmtId="0" fontId="0" fillId="0" borderId="23" xfId="0" applyFont="1" applyFill="1" applyBorder="1" applyAlignment="1" applyProtection="1">
      <alignment vertical="center"/>
    </xf>
    <xf numFmtId="0" fontId="0" fillId="0" borderId="0" xfId="0"/>
    <xf numFmtId="49" fontId="0" fillId="0" borderId="0" xfId="0" applyNumberFormat="1" applyFont="1" applyFill="1" applyAlignment="1" applyProtection="1">
      <alignment horizontal="left" vertical="center"/>
    </xf>
    <xf numFmtId="49" fontId="0" fillId="0" borderId="1" xfId="0" applyNumberFormat="1" applyFont="1" applyFill="1" applyBorder="1" applyAlignment="1" applyProtection="1">
      <alignment horizontal="left" vertical="center"/>
    </xf>
    <xf numFmtId="49" fontId="3" fillId="0" borderId="3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Alignment="1" applyProtection="1">
      <alignment horizontal="left" vertical="center"/>
    </xf>
    <xf numFmtId="49" fontId="3" fillId="2" borderId="0" xfId="0" applyNumberFormat="1" applyFont="1" applyFill="1" applyAlignment="1" applyProtection="1">
      <alignment horizontal="left" vertical="center"/>
    </xf>
    <xf numFmtId="49" fontId="3" fillId="0" borderId="11" xfId="0" applyNumberFormat="1" applyFont="1" applyFill="1" applyBorder="1" applyAlignment="1" applyProtection="1">
      <alignment horizontal="left" vertical="center"/>
    </xf>
    <xf numFmtId="49" fontId="3" fillId="0" borderId="13" xfId="0" applyNumberFormat="1" applyFont="1" applyFill="1" applyBorder="1" applyAlignment="1" applyProtection="1">
      <alignment horizontal="center" vertical="center"/>
    </xf>
    <xf numFmtId="49" fontId="3" fillId="0" borderId="17" xfId="0" applyNumberFormat="1" applyFont="1" applyFill="1" applyBorder="1" applyAlignment="1" applyProtection="1">
      <alignment horizontal="left" vertical="center"/>
    </xf>
    <xf numFmtId="49" fontId="3" fillId="2" borderId="23" xfId="0" applyNumberFormat="1" applyFont="1" applyFill="1" applyBorder="1" applyAlignment="1" applyProtection="1">
      <alignment horizontal="left" vertical="center"/>
    </xf>
    <xf numFmtId="0" fontId="0" fillId="0" borderId="7" xfId="0" applyFont="1" applyFill="1" applyBorder="1" applyAlignment="1" applyProtection="1">
      <alignment horizontal="left" vertical="center" wrapText="1"/>
    </xf>
    <xf numFmtId="0" fontId="0" fillId="0" borderId="8" xfId="0" applyFill="1" applyBorder="1"/>
    <xf numFmtId="49" fontId="0" fillId="0" borderId="8" xfId="0" applyNumberFormat="1" applyFont="1" applyFill="1" applyBorder="1" applyAlignment="1" applyProtection="1">
      <alignment horizontal="left" vertical="center"/>
    </xf>
    <xf numFmtId="0" fontId="0" fillId="0" borderId="8" xfId="0" applyFont="1" applyFill="1" applyBorder="1" applyAlignment="1" applyProtection="1">
      <alignment horizontal="left" vertical="center" wrapText="1"/>
    </xf>
    <xf numFmtId="0" fontId="0" fillId="0" borderId="9" xfId="0" applyFont="1" applyFill="1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left"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6" xfId="0" applyFill="1" applyBorder="1"/>
    <xf numFmtId="0" fontId="0" fillId="0" borderId="6" xfId="0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0" fillId="0" borderId="3" xfId="0" applyFont="1" applyFill="1" applyBorder="1" applyAlignment="1" applyProtection="1">
      <alignment horizontal="left" vertical="center" wrapText="1"/>
    </xf>
    <xf numFmtId="0" fontId="0" fillId="0" borderId="4" xfId="0" applyFont="1" applyFill="1" applyBorder="1" applyAlignment="1" applyProtection="1">
      <alignment horizontal="left" vertical="center" wrapText="1"/>
    </xf>
    <xf numFmtId="0" fontId="0" fillId="0" borderId="34" xfId="0" applyFill="1" applyBorder="1"/>
    <xf numFmtId="49" fontId="10" fillId="0" borderId="22" xfId="0" applyNumberFormat="1" applyFont="1" applyFill="1" applyBorder="1" applyAlignment="1" applyProtection="1">
      <alignment horizontal="left" vertical="center"/>
    </xf>
    <xf numFmtId="49" fontId="9" fillId="2" borderId="31" xfId="0" applyNumberFormat="1" applyFont="1" applyFill="1" applyBorder="1" applyAlignment="1" applyProtection="1">
      <alignment horizontal="left" vertical="center"/>
    </xf>
    <xf numFmtId="49" fontId="10" fillId="0" borderId="14" xfId="0" applyNumberFormat="1" applyFont="1" applyFill="1" applyBorder="1" applyAlignment="1" applyProtection="1">
      <alignment horizontal="left" vertical="center"/>
    </xf>
    <xf numFmtId="49" fontId="9" fillId="0" borderId="27" xfId="0" applyNumberFormat="1" applyFont="1" applyFill="1" applyBorder="1" applyAlignment="1" applyProtection="1">
      <alignment horizontal="left" vertical="center"/>
    </xf>
    <xf numFmtId="0" fontId="0" fillId="0" borderId="27" xfId="0" applyFill="1" applyBorder="1"/>
    <xf numFmtId="49" fontId="10" fillId="0" borderId="27" xfId="0" applyNumberFormat="1" applyFont="1" applyFill="1" applyBorder="1" applyAlignment="1" applyProtection="1">
      <alignment horizontal="left" vertical="center"/>
    </xf>
    <xf numFmtId="49" fontId="6" fillId="0" borderId="26" xfId="0" applyNumberFormat="1" applyFont="1" applyFill="1" applyBorder="1" applyAlignment="1" applyProtection="1">
      <alignment horizontal="center" vertical="center"/>
    </xf>
    <xf numFmtId="49" fontId="8" fillId="0" borderId="27" xfId="0" applyNumberFormat="1" applyFont="1" applyFill="1" applyBorder="1" applyAlignment="1" applyProtection="1">
      <alignment horizontal="left" vertical="center"/>
    </xf>
    <xf numFmtId="0" fontId="0" fillId="0" borderId="24" xfId="0" applyFont="1" applyFill="1" applyBorder="1" applyAlignment="1" applyProtection="1">
      <alignment horizontal="left" vertical="center" wrapText="1"/>
    </xf>
    <xf numFmtId="0" fontId="0" fillId="0" borderId="1" xfId="0" applyFill="1" applyBorder="1"/>
    <xf numFmtId="0" fontId="0" fillId="0" borderId="1" xfId="0" applyFont="1" applyFill="1" applyBorder="1" applyAlignment="1" applyProtection="1">
      <alignment horizontal="left" vertical="center" wrapText="1"/>
    </xf>
    <xf numFmtId="0" fontId="0" fillId="0" borderId="25" xfId="0" applyFont="1" applyFill="1" applyBorder="1" applyAlignment="1" applyProtection="1">
      <alignment horizontal="left" vertical="center" wrapText="1"/>
    </xf>
    <xf numFmtId="49" fontId="0" fillId="0" borderId="6" xfId="0" applyNumberFormat="1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4" xfId="0" applyFill="1" applyBorder="1"/>
  </cellXfs>
  <cellStyles count="2">
    <cellStyle name="Graphics" xfId="1" xr:uid="{00000000-0005-0000-0000-000000000000}"/>
    <cellStyle name="Normální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871" cy="8858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904871" cy="8858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95353" cy="8858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895353" cy="8858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8"/>
  <sheetViews>
    <sheetView tabSelected="1" workbookViewId="0">
      <selection activeCell="F54" sqref="F54"/>
    </sheetView>
  </sheetViews>
  <sheetFormatPr defaultColWidth="9" defaultRowHeight="13.2" x14ac:dyDescent="0.25"/>
  <cols>
    <col min="1" max="1" width="2.88671875" style="1" customWidth="1"/>
    <col min="2" max="2" width="11.109375" style="1" customWidth="1"/>
    <col min="3" max="3" width="34" style="1" customWidth="1"/>
    <col min="4" max="5" width="9" style="1" customWidth="1"/>
    <col min="6" max="6" width="4.5546875" style="1" customWidth="1"/>
    <col min="7" max="7" width="10" style="1" customWidth="1"/>
    <col min="8" max="8" width="9.33203125" style="1" customWidth="1"/>
    <col min="9" max="11" width="11.109375" style="1" customWidth="1"/>
    <col min="12" max="12" width="9.109375" style="1" customWidth="1"/>
    <col min="13" max="24" width="9" style="1" customWidth="1"/>
    <col min="25" max="62" width="9.44140625" style="1" hidden="1" customWidth="1"/>
    <col min="63" max="63" width="9" style="1" customWidth="1"/>
    <col min="64" max="16384" width="9" style="1"/>
  </cols>
  <sheetData>
    <row r="1" spans="1:62" ht="72.900000000000006" customHeight="1" x14ac:dyDescent="0.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62" x14ac:dyDescent="0.25">
      <c r="A2" s="72" t="s">
        <v>1</v>
      </c>
      <c r="B2" s="72"/>
      <c r="C2" s="73" t="s">
        <v>2</v>
      </c>
      <c r="D2" s="73"/>
      <c r="E2" s="74" t="s">
        <v>3</v>
      </c>
      <c r="F2" s="74"/>
      <c r="G2" s="74" t="s">
        <v>4</v>
      </c>
      <c r="H2" s="75" t="s">
        <v>5</v>
      </c>
      <c r="I2" s="76" t="s">
        <v>6</v>
      </c>
      <c r="J2" s="76"/>
      <c r="K2" s="76"/>
      <c r="L2" s="76"/>
      <c r="M2" s="2"/>
    </row>
    <row r="3" spans="1:62" x14ac:dyDescent="0.25">
      <c r="A3" s="72"/>
      <c r="B3" s="72"/>
      <c r="C3" s="73"/>
      <c r="D3" s="73"/>
      <c r="E3" s="74"/>
      <c r="F3" s="74"/>
      <c r="G3" s="74"/>
      <c r="H3" s="75"/>
      <c r="I3" s="76"/>
      <c r="J3" s="76"/>
      <c r="K3" s="76"/>
      <c r="L3" s="76"/>
      <c r="M3" s="2"/>
    </row>
    <row r="4" spans="1:62" x14ac:dyDescent="0.25">
      <c r="A4" s="67" t="s">
        <v>7</v>
      </c>
      <c r="B4" s="67"/>
      <c r="C4" s="52"/>
      <c r="D4" s="52"/>
      <c r="E4" s="53" t="s">
        <v>8</v>
      </c>
      <c r="F4" s="53"/>
      <c r="G4" s="53" t="s">
        <v>9</v>
      </c>
      <c r="H4" s="68" t="s">
        <v>10</v>
      </c>
      <c r="I4" s="70" t="s">
        <v>11</v>
      </c>
      <c r="J4" s="70"/>
      <c r="K4" s="70"/>
      <c r="L4" s="70"/>
      <c r="M4" s="2"/>
    </row>
    <row r="5" spans="1:62" x14ac:dyDescent="0.25">
      <c r="A5" s="67"/>
      <c r="B5" s="67"/>
      <c r="C5" s="52"/>
      <c r="D5" s="52"/>
      <c r="E5" s="53"/>
      <c r="F5" s="53"/>
      <c r="G5" s="53"/>
      <c r="H5" s="68"/>
      <c r="I5" s="70"/>
      <c r="J5" s="70"/>
      <c r="K5" s="70"/>
      <c r="L5" s="70"/>
      <c r="M5" s="2"/>
    </row>
    <row r="6" spans="1:62" x14ac:dyDescent="0.25">
      <c r="A6" s="67" t="s">
        <v>12</v>
      </c>
      <c r="B6" s="67"/>
      <c r="C6" s="68" t="s">
        <v>13</v>
      </c>
      <c r="D6" s="68"/>
      <c r="E6" s="53" t="s">
        <v>14</v>
      </c>
      <c r="F6" s="53"/>
      <c r="G6" s="53" t="s">
        <v>9</v>
      </c>
      <c r="H6" s="68" t="s">
        <v>15</v>
      </c>
      <c r="I6" s="69"/>
      <c r="J6" s="69"/>
      <c r="K6" s="69"/>
      <c r="L6" s="69"/>
      <c r="M6" s="2"/>
    </row>
    <row r="7" spans="1:62" x14ac:dyDescent="0.25">
      <c r="A7" s="67"/>
      <c r="B7" s="67"/>
      <c r="C7" s="68"/>
      <c r="D7" s="68"/>
      <c r="E7" s="53"/>
      <c r="F7" s="53"/>
      <c r="G7" s="53"/>
      <c r="H7" s="68"/>
      <c r="I7" s="69"/>
      <c r="J7" s="69"/>
      <c r="K7" s="69"/>
      <c r="L7" s="69"/>
      <c r="M7" s="2"/>
    </row>
    <row r="8" spans="1:62" ht="13.8" thickBot="1" x14ac:dyDescent="0.3">
      <c r="A8" s="62" t="s">
        <v>16</v>
      </c>
      <c r="B8" s="62"/>
      <c r="C8" s="63"/>
      <c r="D8" s="63"/>
      <c r="E8" s="64" t="s">
        <v>17</v>
      </c>
      <c r="F8" s="64"/>
      <c r="G8" s="64" t="s">
        <v>18</v>
      </c>
      <c r="H8" s="65" t="s">
        <v>19</v>
      </c>
      <c r="I8" s="66" t="s">
        <v>20</v>
      </c>
      <c r="J8" s="66"/>
      <c r="K8" s="66"/>
      <c r="L8" s="66"/>
      <c r="M8" s="2"/>
    </row>
    <row r="9" spans="1:62" ht="13.8" thickBot="1" x14ac:dyDescent="0.3">
      <c r="A9" s="62"/>
      <c r="B9" s="62"/>
      <c r="C9" s="63"/>
      <c r="D9" s="63"/>
      <c r="E9" s="64"/>
      <c r="F9" s="64"/>
      <c r="G9" s="64"/>
      <c r="H9" s="65"/>
      <c r="I9" s="66"/>
      <c r="J9" s="66"/>
      <c r="K9" s="66"/>
      <c r="L9" s="66"/>
      <c r="M9" s="2"/>
    </row>
    <row r="10" spans="1:62" x14ac:dyDescent="0.25">
      <c r="A10" s="4" t="s">
        <v>21</v>
      </c>
      <c r="B10" s="5" t="s">
        <v>22</v>
      </c>
      <c r="C10" s="58" t="s">
        <v>23</v>
      </c>
      <c r="D10" s="58"/>
      <c r="E10" s="58"/>
      <c r="F10" s="5" t="s">
        <v>24</v>
      </c>
      <c r="G10" s="6" t="s">
        <v>25</v>
      </c>
      <c r="H10" s="7" t="s">
        <v>26</v>
      </c>
      <c r="I10" s="59" t="s">
        <v>27</v>
      </c>
      <c r="J10" s="59"/>
      <c r="K10" s="59"/>
      <c r="L10" s="8" t="s">
        <v>28</v>
      </c>
      <c r="M10" s="9"/>
    </row>
    <row r="11" spans="1:62" ht="13.8" thickBot="1" x14ac:dyDescent="0.3">
      <c r="A11" s="10" t="s">
        <v>4</v>
      </c>
      <c r="B11" s="11" t="s">
        <v>4</v>
      </c>
      <c r="C11" s="60" t="s">
        <v>29</v>
      </c>
      <c r="D11" s="60"/>
      <c r="E11" s="60"/>
      <c r="F11" s="11" t="s">
        <v>4</v>
      </c>
      <c r="G11" s="11" t="s">
        <v>4</v>
      </c>
      <c r="H11" s="12" t="s">
        <v>30</v>
      </c>
      <c r="I11" s="13" t="s">
        <v>31</v>
      </c>
      <c r="J11" s="14" t="s">
        <v>32</v>
      </c>
      <c r="K11" s="15" t="s">
        <v>33</v>
      </c>
      <c r="L11" s="16" t="s">
        <v>34</v>
      </c>
      <c r="M11" s="9"/>
      <c r="Z11" s="17" t="s">
        <v>35</v>
      </c>
      <c r="AA11" s="17" t="s">
        <v>36</v>
      </c>
      <c r="AB11" s="17" t="s">
        <v>37</v>
      </c>
      <c r="AC11" s="17" t="s">
        <v>38</v>
      </c>
      <c r="AD11" s="17" t="s">
        <v>39</v>
      </c>
      <c r="AE11" s="17" t="s">
        <v>40</v>
      </c>
      <c r="AF11" s="17" t="s">
        <v>41</v>
      </c>
      <c r="AG11" s="17" t="s">
        <v>42</v>
      </c>
      <c r="AH11" s="17" t="s">
        <v>43</v>
      </c>
      <c r="BH11" s="17" t="s">
        <v>44</v>
      </c>
      <c r="BI11" s="17" t="s">
        <v>45</v>
      </c>
      <c r="BJ11" s="17" t="s">
        <v>46</v>
      </c>
    </row>
    <row r="12" spans="1:62" x14ac:dyDescent="0.25">
      <c r="A12" s="18"/>
      <c r="B12" s="19" t="s">
        <v>47</v>
      </c>
      <c r="C12" s="61" t="s">
        <v>48</v>
      </c>
      <c r="D12" s="61"/>
      <c r="E12" s="61"/>
      <c r="F12" s="18" t="s">
        <v>4</v>
      </c>
      <c r="G12" s="18" t="s">
        <v>4</v>
      </c>
      <c r="H12" s="18" t="s">
        <v>4</v>
      </c>
      <c r="I12" s="20">
        <f>SUM(I13:I13)</f>
        <v>0</v>
      </c>
      <c r="J12" s="20">
        <f>SUM(J13:J13)</f>
        <v>0</v>
      </c>
      <c r="K12" s="20">
        <f>SUM(K13:K13)</f>
        <v>0</v>
      </c>
      <c r="L12" s="21"/>
      <c r="AI12" s="17"/>
      <c r="AS12" s="22">
        <f>SUM(AJ13:AJ13)</f>
        <v>0</v>
      </c>
      <c r="AT12" s="22">
        <f>SUM(AK13:AK13)</f>
        <v>0</v>
      </c>
      <c r="AU12" s="22">
        <f>SUM(AL13:AL13)</f>
        <v>0</v>
      </c>
    </row>
    <row r="13" spans="1:62" x14ac:dyDescent="0.25">
      <c r="A13" s="3" t="s">
        <v>49</v>
      </c>
      <c r="B13" s="3" t="s">
        <v>50</v>
      </c>
      <c r="C13" s="53" t="s">
        <v>190</v>
      </c>
      <c r="D13" s="53"/>
      <c r="E13" s="53"/>
      <c r="F13" s="3" t="s">
        <v>51</v>
      </c>
      <c r="G13" s="23">
        <v>5354</v>
      </c>
      <c r="H13" s="23">
        <v>0</v>
      </c>
      <c r="I13" s="23">
        <f>G13*AO13</f>
        <v>0</v>
      </c>
      <c r="J13" s="23">
        <f>G13*AP13</f>
        <v>0</v>
      </c>
      <c r="K13" s="23">
        <f>G13*H13</f>
        <v>0</v>
      </c>
      <c r="L13" s="24" t="s">
        <v>52</v>
      </c>
      <c r="Z13" s="23">
        <f>IF(AQ13="5",BJ13,0)</f>
        <v>0</v>
      </c>
      <c r="AB13" s="23">
        <f>IF(AQ13="1",BH13,0)</f>
        <v>0</v>
      </c>
      <c r="AC13" s="23">
        <f>IF(AQ13="1",BI13,0)</f>
        <v>0</v>
      </c>
      <c r="AD13" s="23">
        <f>IF(AQ13="7",BH13,0)</f>
        <v>0</v>
      </c>
      <c r="AE13" s="23">
        <f>IF(AQ13="7",BI13,0)</f>
        <v>0</v>
      </c>
      <c r="AF13" s="23">
        <f>IF(AQ13="2",BH13,0)</f>
        <v>0</v>
      </c>
      <c r="AG13" s="23">
        <f>IF(AQ13="2",BI13,0)</f>
        <v>0</v>
      </c>
      <c r="AH13" s="23">
        <f>IF(AQ13="0",BJ13,0)</f>
        <v>0</v>
      </c>
      <c r="AI13" s="17"/>
      <c r="AJ13" s="23">
        <f>IF(AN13=0,K13,0)</f>
        <v>0</v>
      </c>
      <c r="AK13" s="23">
        <f>IF(AN13=15,K13,0)</f>
        <v>0</v>
      </c>
      <c r="AL13" s="23">
        <f>IF(AN13=21,K13,0)</f>
        <v>0</v>
      </c>
      <c r="AN13" s="23">
        <v>21</v>
      </c>
      <c r="AO13" s="23">
        <f>H13*0</f>
        <v>0</v>
      </c>
      <c r="AP13" s="23">
        <f>H13*(1-0)</f>
        <v>0</v>
      </c>
      <c r="AQ13" s="24" t="s">
        <v>49</v>
      </c>
      <c r="AV13" s="23">
        <f>AW13+AX13</f>
        <v>0</v>
      </c>
      <c r="AW13" s="23">
        <f>G13*AO13</f>
        <v>0</v>
      </c>
      <c r="AX13" s="23">
        <f>G13*AP13</f>
        <v>0</v>
      </c>
      <c r="AY13" s="24" t="s">
        <v>53</v>
      </c>
      <c r="AZ13" s="24" t="s">
        <v>54</v>
      </c>
      <c r="BA13" s="17" t="s">
        <v>55</v>
      </c>
      <c r="BC13" s="23">
        <f>AW13+AX13</f>
        <v>0</v>
      </c>
      <c r="BD13" s="23">
        <f>H13/(100-BE13)*100</f>
        <v>0</v>
      </c>
      <c r="BE13" s="23">
        <v>0</v>
      </c>
      <c r="BF13" s="23">
        <f>13</f>
        <v>13</v>
      </c>
      <c r="BH13" s="23">
        <f>G13*AO13</f>
        <v>0</v>
      </c>
      <c r="BI13" s="23">
        <f>G13*AP13</f>
        <v>0</v>
      </c>
      <c r="BJ13" s="23">
        <f>G13*H13</f>
        <v>0</v>
      </c>
    </row>
    <row r="14" spans="1:62" x14ac:dyDescent="0.25">
      <c r="C14" s="56" t="s">
        <v>56</v>
      </c>
      <c r="D14" s="56"/>
      <c r="E14" s="56"/>
      <c r="G14" s="25">
        <v>5354</v>
      </c>
    </row>
    <row r="15" spans="1:62" x14ac:dyDescent="0.25">
      <c r="A15" s="26"/>
      <c r="B15" s="27" t="s">
        <v>57</v>
      </c>
      <c r="C15" s="57" t="s">
        <v>58</v>
      </c>
      <c r="D15" s="57"/>
      <c r="E15" s="57"/>
      <c r="F15" s="26" t="s">
        <v>4</v>
      </c>
      <c r="G15" s="26" t="s">
        <v>4</v>
      </c>
      <c r="H15" s="26" t="s">
        <v>4</v>
      </c>
      <c r="I15" s="22">
        <f>SUM(I16:I20)</f>
        <v>0</v>
      </c>
      <c r="J15" s="22">
        <f>SUM(J16:J20)</f>
        <v>0</v>
      </c>
      <c r="K15" s="22">
        <f>SUM(K16:K20)</f>
        <v>0</v>
      </c>
      <c r="L15" s="17"/>
      <c r="AI15" s="17"/>
      <c r="AS15" s="22">
        <f>SUM(AJ16:AJ20)</f>
        <v>0</v>
      </c>
      <c r="AT15" s="22">
        <f>SUM(AK16:AK20)</f>
        <v>0</v>
      </c>
      <c r="AU15" s="22">
        <f>SUM(AL16:AL20)</f>
        <v>0</v>
      </c>
    </row>
    <row r="16" spans="1:62" x14ac:dyDescent="0.25">
      <c r="A16" s="3" t="s">
        <v>59</v>
      </c>
      <c r="B16" s="3" t="s">
        <v>60</v>
      </c>
      <c r="C16" s="53" t="s">
        <v>61</v>
      </c>
      <c r="D16" s="53"/>
      <c r="E16" s="53"/>
      <c r="F16" s="3" t="s">
        <v>51</v>
      </c>
      <c r="G16" s="23">
        <v>2000</v>
      </c>
      <c r="H16" s="23">
        <v>0</v>
      </c>
      <c r="I16" s="23">
        <f>G16*AO16</f>
        <v>0</v>
      </c>
      <c r="J16" s="23">
        <f>G16*AP16</f>
        <v>0</v>
      </c>
      <c r="K16" s="23">
        <f>G16*H16</f>
        <v>0</v>
      </c>
      <c r="L16" s="24" t="s">
        <v>52</v>
      </c>
      <c r="Z16" s="23">
        <f>IF(AQ16="5",BJ16,0)</f>
        <v>0</v>
      </c>
      <c r="AB16" s="23">
        <f>IF(AQ16="1",BH16,0)</f>
        <v>0</v>
      </c>
      <c r="AC16" s="23">
        <f>IF(AQ16="1",BI16,0)</f>
        <v>0</v>
      </c>
      <c r="AD16" s="23">
        <f>IF(AQ16="7",BH16,0)</f>
        <v>0</v>
      </c>
      <c r="AE16" s="23">
        <f>IF(AQ16="7",BI16,0)</f>
        <v>0</v>
      </c>
      <c r="AF16" s="23">
        <f>IF(AQ16="2",BH16,0)</f>
        <v>0</v>
      </c>
      <c r="AG16" s="23">
        <f>IF(AQ16="2",BI16,0)</f>
        <v>0</v>
      </c>
      <c r="AH16" s="23">
        <f>IF(AQ16="0",BJ16,0)</f>
        <v>0</v>
      </c>
      <c r="AI16" s="17"/>
      <c r="AJ16" s="23">
        <f>IF(AN16=0,K16,0)</f>
        <v>0</v>
      </c>
      <c r="AK16" s="23">
        <f>IF(AN16=15,K16,0)</f>
        <v>0</v>
      </c>
      <c r="AL16" s="23">
        <f>IF(AN16=21,K16,0)</f>
        <v>0</v>
      </c>
      <c r="AN16" s="23">
        <v>21</v>
      </c>
      <c r="AO16" s="23">
        <f>H16*0.4412168</f>
        <v>0</v>
      </c>
      <c r="AP16" s="23">
        <f>H16*(1-0.4412168)</f>
        <v>0</v>
      </c>
      <c r="AQ16" s="24" t="s">
        <v>49</v>
      </c>
      <c r="AV16" s="23">
        <f>AW16+AX16</f>
        <v>0</v>
      </c>
      <c r="AW16" s="23">
        <f>G16*AO16</f>
        <v>0</v>
      </c>
      <c r="AX16" s="23">
        <f>G16*AP16</f>
        <v>0</v>
      </c>
      <c r="AY16" s="24" t="s">
        <v>62</v>
      </c>
      <c r="AZ16" s="24" t="s">
        <v>63</v>
      </c>
      <c r="BA16" s="17" t="s">
        <v>55</v>
      </c>
      <c r="BC16" s="23">
        <f>AW16+AX16</f>
        <v>0</v>
      </c>
      <c r="BD16" s="23">
        <f>H16/(100-BE16)*100</f>
        <v>0</v>
      </c>
      <c r="BE16" s="23">
        <v>0</v>
      </c>
      <c r="BF16" s="23">
        <f>16</f>
        <v>16</v>
      </c>
      <c r="BH16" s="23">
        <f>G16*AO16</f>
        <v>0</v>
      </c>
      <c r="BI16" s="23">
        <f>G16*AP16</f>
        <v>0</v>
      </c>
      <c r="BJ16" s="23">
        <f>G16*H16</f>
        <v>0</v>
      </c>
    </row>
    <row r="17" spans="1:62" x14ac:dyDescent="0.25">
      <c r="C17" s="56" t="s">
        <v>64</v>
      </c>
      <c r="D17" s="56"/>
      <c r="E17" s="56"/>
      <c r="G17" s="25">
        <v>2000</v>
      </c>
    </row>
    <row r="18" spans="1:62" x14ac:dyDescent="0.25">
      <c r="A18" s="3" t="s">
        <v>65</v>
      </c>
      <c r="B18" s="3" t="s">
        <v>66</v>
      </c>
      <c r="C18" s="53" t="s">
        <v>191</v>
      </c>
      <c r="D18" s="53"/>
      <c r="E18" s="53"/>
      <c r="F18" s="3" t="s">
        <v>51</v>
      </c>
      <c r="G18" s="23">
        <v>5354</v>
      </c>
      <c r="H18" s="23">
        <v>0</v>
      </c>
      <c r="I18" s="23">
        <f>G18*AO18</f>
        <v>0</v>
      </c>
      <c r="J18" s="23">
        <f>G18*AP18</f>
        <v>0</v>
      </c>
      <c r="K18" s="23">
        <f>G18*H18</f>
        <v>0</v>
      </c>
      <c r="L18" s="24" t="s">
        <v>52</v>
      </c>
      <c r="Z18" s="23">
        <f>IF(AQ18="5",BJ18,0)</f>
        <v>0</v>
      </c>
      <c r="AB18" s="23">
        <f>IF(AQ18="1",BH18,0)</f>
        <v>0</v>
      </c>
      <c r="AC18" s="23">
        <f>IF(AQ18="1",BI18,0)</f>
        <v>0</v>
      </c>
      <c r="AD18" s="23">
        <f>IF(AQ18="7",BH18,0)</f>
        <v>0</v>
      </c>
      <c r="AE18" s="23">
        <f>IF(AQ18="7",BI18,0)</f>
        <v>0</v>
      </c>
      <c r="AF18" s="23">
        <f>IF(AQ18="2",BH18,0)</f>
        <v>0</v>
      </c>
      <c r="AG18" s="23">
        <f>IF(AQ18="2",BI18,0)</f>
        <v>0</v>
      </c>
      <c r="AH18" s="23">
        <f>IF(AQ18="0",BJ18,0)</f>
        <v>0</v>
      </c>
      <c r="AI18" s="17"/>
      <c r="AJ18" s="23">
        <f>IF(AN18=0,K18,0)</f>
        <v>0</v>
      </c>
      <c r="AK18" s="23">
        <f>IF(AN18=15,K18,0)</f>
        <v>0</v>
      </c>
      <c r="AL18" s="23">
        <f>IF(AN18=21,K18,0)</f>
        <v>0</v>
      </c>
      <c r="AN18" s="23">
        <v>21</v>
      </c>
      <c r="AO18" s="23">
        <f>H18*0.858108108108108</f>
        <v>0</v>
      </c>
      <c r="AP18" s="23">
        <f>H18*(1-0.858108108108108)</f>
        <v>0</v>
      </c>
      <c r="AQ18" s="24" t="s">
        <v>49</v>
      </c>
      <c r="AV18" s="23">
        <f>AW18+AX18</f>
        <v>0</v>
      </c>
      <c r="AW18" s="23">
        <f>G18*AO18</f>
        <v>0</v>
      </c>
      <c r="AX18" s="23">
        <f>G18*AP18</f>
        <v>0</v>
      </c>
      <c r="AY18" s="24" t="s">
        <v>62</v>
      </c>
      <c r="AZ18" s="24" t="s">
        <v>63</v>
      </c>
      <c r="BA18" s="17" t="s">
        <v>55</v>
      </c>
      <c r="BC18" s="23">
        <f>AW18+AX18</f>
        <v>0</v>
      </c>
      <c r="BD18" s="23">
        <f>H18/(100-BE18)*100</f>
        <v>0</v>
      </c>
      <c r="BE18" s="23">
        <v>0</v>
      </c>
      <c r="BF18" s="23">
        <f>18</f>
        <v>18</v>
      </c>
      <c r="BH18" s="23">
        <f>G18*AO18</f>
        <v>0</v>
      </c>
      <c r="BI18" s="23">
        <f>G18*AP18</f>
        <v>0</v>
      </c>
      <c r="BJ18" s="23">
        <f>G18*H18</f>
        <v>0</v>
      </c>
    </row>
    <row r="19" spans="1:62" x14ac:dyDescent="0.25">
      <c r="C19" s="56" t="s">
        <v>56</v>
      </c>
      <c r="D19" s="56"/>
      <c r="E19" s="56"/>
      <c r="G19" s="25">
        <v>5354</v>
      </c>
    </row>
    <row r="20" spans="1:62" x14ac:dyDescent="0.25">
      <c r="A20" s="3" t="s">
        <v>67</v>
      </c>
      <c r="B20" s="3" t="s">
        <v>68</v>
      </c>
      <c r="C20" s="53" t="s">
        <v>69</v>
      </c>
      <c r="D20" s="53"/>
      <c r="E20" s="53"/>
      <c r="F20" s="3" t="s">
        <v>51</v>
      </c>
      <c r="G20" s="23">
        <v>5354</v>
      </c>
      <c r="H20" s="23">
        <v>0</v>
      </c>
      <c r="I20" s="23">
        <f>G20*AO20</f>
        <v>0</v>
      </c>
      <c r="J20" s="23">
        <f>G20*AP20</f>
        <v>0</v>
      </c>
      <c r="K20" s="23">
        <f>G20*H20</f>
        <v>0</v>
      </c>
      <c r="L20" s="24" t="s">
        <v>52</v>
      </c>
      <c r="Z20" s="23">
        <f>IF(AQ20="5",BJ20,0)</f>
        <v>0</v>
      </c>
      <c r="AB20" s="23">
        <f>IF(AQ20="1",BH20,0)</f>
        <v>0</v>
      </c>
      <c r="AC20" s="23">
        <f>IF(AQ20="1",BI20,0)</f>
        <v>0</v>
      </c>
      <c r="AD20" s="23">
        <f>IF(AQ20="7",BH20,0)</f>
        <v>0</v>
      </c>
      <c r="AE20" s="23">
        <f>IF(AQ20="7",BI20,0)</f>
        <v>0</v>
      </c>
      <c r="AF20" s="23">
        <f>IF(AQ20="2",BH20,0)</f>
        <v>0</v>
      </c>
      <c r="AG20" s="23">
        <f>IF(AQ20="2",BI20,0)</f>
        <v>0</v>
      </c>
      <c r="AH20" s="23">
        <f>IF(AQ20="0",BJ20,0)</f>
        <v>0</v>
      </c>
      <c r="AI20" s="17"/>
      <c r="AJ20" s="23">
        <f>IF(AN20=0,K20,0)</f>
        <v>0</v>
      </c>
      <c r="AK20" s="23">
        <f>IF(AN20=15,K20,0)</f>
        <v>0</v>
      </c>
      <c r="AL20" s="23">
        <f>IF(AN20=21,K20,0)</f>
        <v>0</v>
      </c>
      <c r="AN20" s="23">
        <v>21</v>
      </c>
      <c r="AO20" s="23">
        <f>H20*0.924007285974499</f>
        <v>0</v>
      </c>
      <c r="AP20" s="23">
        <f>H20*(1-0.924007285974499)</f>
        <v>0</v>
      </c>
      <c r="AQ20" s="24" t="s">
        <v>49</v>
      </c>
      <c r="AV20" s="23">
        <f>AW20+AX20</f>
        <v>0</v>
      </c>
      <c r="AW20" s="23">
        <f>G20*AO20</f>
        <v>0</v>
      </c>
      <c r="AX20" s="23">
        <f>G20*AP20</f>
        <v>0</v>
      </c>
      <c r="AY20" s="24" t="s">
        <v>62</v>
      </c>
      <c r="AZ20" s="24" t="s">
        <v>63</v>
      </c>
      <c r="BA20" s="17" t="s">
        <v>55</v>
      </c>
      <c r="BC20" s="23">
        <f>AW20+AX20</f>
        <v>0</v>
      </c>
      <c r="BD20" s="23">
        <f>H20/(100-BE20)*100</f>
        <v>0</v>
      </c>
      <c r="BE20" s="23">
        <v>0</v>
      </c>
      <c r="BF20" s="23">
        <f>20</f>
        <v>20</v>
      </c>
      <c r="BH20" s="23">
        <f>G20*AO20</f>
        <v>0</v>
      </c>
      <c r="BI20" s="23">
        <f>G20*AP20</f>
        <v>0</v>
      </c>
      <c r="BJ20" s="23">
        <f>G20*H20</f>
        <v>0</v>
      </c>
    </row>
    <row r="21" spans="1:62" x14ac:dyDescent="0.25">
      <c r="C21" s="56" t="s">
        <v>56</v>
      </c>
      <c r="D21" s="56"/>
      <c r="E21" s="56"/>
      <c r="G21" s="25">
        <v>5354</v>
      </c>
    </row>
    <row r="22" spans="1:62" x14ac:dyDescent="0.25">
      <c r="A22" s="26"/>
      <c r="B22" s="27" t="s">
        <v>70</v>
      </c>
      <c r="C22" s="57" t="s">
        <v>71</v>
      </c>
      <c r="D22" s="57"/>
      <c r="E22" s="57"/>
      <c r="F22" s="26" t="s">
        <v>4</v>
      </c>
      <c r="G22" s="26" t="s">
        <v>4</v>
      </c>
      <c r="H22" s="26" t="s">
        <v>4</v>
      </c>
      <c r="I22" s="22">
        <f>SUM(I23:I23)</f>
        <v>0</v>
      </c>
      <c r="J22" s="22">
        <f>SUM(J23:J23)</f>
        <v>0</v>
      </c>
      <c r="K22" s="22">
        <f>SUM(K23:K23)</f>
        <v>0</v>
      </c>
      <c r="L22" s="17"/>
      <c r="AI22" s="17"/>
      <c r="AS22" s="22">
        <f>SUM(AJ23:AJ23)</f>
        <v>0</v>
      </c>
      <c r="AT22" s="22">
        <f>SUM(AK23:AK23)</f>
        <v>0</v>
      </c>
      <c r="AU22" s="22">
        <f>SUM(AL23:AL23)</f>
        <v>0</v>
      </c>
    </row>
    <row r="23" spans="1:62" x14ac:dyDescent="0.25">
      <c r="A23" s="3" t="s">
        <v>72</v>
      </c>
      <c r="B23" s="3" t="s">
        <v>73</v>
      </c>
      <c r="C23" s="53" t="s">
        <v>74</v>
      </c>
      <c r="D23" s="53"/>
      <c r="E23" s="53"/>
      <c r="F23" s="3" t="s">
        <v>75</v>
      </c>
      <c r="G23" s="23">
        <v>92</v>
      </c>
      <c r="H23" s="23">
        <v>0</v>
      </c>
      <c r="I23" s="23">
        <f>G23*AO23</f>
        <v>0</v>
      </c>
      <c r="J23" s="23">
        <f>G23*AP23</f>
        <v>0</v>
      </c>
      <c r="K23" s="23">
        <f>G23*H23</f>
        <v>0</v>
      </c>
      <c r="L23" s="24" t="s">
        <v>52</v>
      </c>
      <c r="Z23" s="23">
        <f>IF(AQ23="5",BJ23,0)</f>
        <v>0</v>
      </c>
      <c r="AB23" s="23">
        <f>IF(AQ23="1",BH23,0)</f>
        <v>0</v>
      </c>
      <c r="AC23" s="23">
        <f>IF(AQ23="1",BI23,0)</f>
        <v>0</v>
      </c>
      <c r="AD23" s="23">
        <f>IF(AQ23="7",BH23,0)</f>
        <v>0</v>
      </c>
      <c r="AE23" s="23">
        <f>IF(AQ23="7",BI23,0)</f>
        <v>0</v>
      </c>
      <c r="AF23" s="23">
        <f>IF(AQ23="2",BH23,0)</f>
        <v>0</v>
      </c>
      <c r="AG23" s="23">
        <f>IF(AQ23="2",BI23,0)</f>
        <v>0</v>
      </c>
      <c r="AH23" s="23">
        <f>IF(AQ23="0",BJ23,0)</f>
        <v>0</v>
      </c>
      <c r="AI23" s="17"/>
      <c r="AJ23" s="23">
        <f>IF(AN23=0,K23,0)</f>
        <v>0</v>
      </c>
      <c r="AK23" s="23">
        <f>IF(AN23=15,K23,0)</f>
        <v>0</v>
      </c>
      <c r="AL23" s="23">
        <f>IF(AN23=21,K23,0)</f>
        <v>0</v>
      </c>
      <c r="AN23" s="23">
        <v>21</v>
      </c>
      <c r="AO23" s="23">
        <f>H23*0.262164502164502</f>
        <v>0</v>
      </c>
      <c r="AP23" s="23">
        <f>H23*(1-0.262164502164502)</f>
        <v>0</v>
      </c>
      <c r="AQ23" s="24" t="s">
        <v>49</v>
      </c>
      <c r="AV23" s="23">
        <f>AW23+AX23</f>
        <v>0</v>
      </c>
      <c r="AW23" s="23">
        <f>G23*AO23</f>
        <v>0</v>
      </c>
      <c r="AX23" s="23">
        <f>G23*AP23</f>
        <v>0</v>
      </c>
      <c r="AY23" s="24" t="s">
        <v>76</v>
      </c>
      <c r="AZ23" s="24" t="s">
        <v>63</v>
      </c>
      <c r="BA23" s="17" t="s">
        <v>55</v>
      </c>
      <c r="BC23" s="23">
        <f>AW23+AX23</f>
        <v>0</v>
      </c>
      <c r="BD23" s="23">
        <f>H23/(100-BE23)*100</f>
        <v>0</v>
      </c>
      <c r="BE23" s="23">
        <v>0</v>
      </c>
      <c r="BF23" s="23">
        <f>23</f>
        <v>23</v>
      </c>
      <c r="BH23" s="23">
        <f>G23*AO23</f>
        <v>0</v>
      </c>
      <c r="BI23" s="23">
        <f>G23*AP23</f>
        <v>0</v>
      </c>
      <c r="BJ23" s="23">
        <f>G23*H23</f>
        <v>0</v>
      </c>
    </row>
    <row r="24" spans="1:62" x14ac:dyDescent="0.25">
      <c r="C24" s="56" t="s">
        <v>77</v>
      </c>
      <c r="D24" s="56"/>
      <c r="E24" s="56"/>
      <c r="G24" s="25">
        <v>92</v>
      </c>
    </row>
    <row r="25" spans="1:62" x14ac:dyDescent="0.25">
      <c r="A25" s="26"/>
      <c r="B25" s="27" t="s">
        <v>78</v>
      </c>
      <c r="C25" s="57" t="s">
        <v>79</v>
      </c>
      <c r="D25" s="57"/>
      <c r="E25" s="57"/>
      <c r="F25" s="26" t="s">
        <v>4</v>
      </c>
      <c r="G25" s="26" t="s">
        <v>4</v>
      </c>
      <c r="H25" s="26" t="s">
        <v>4</v>
      </c>
      <c r="I25" s="22">
        <f>SUM(I26:I28)</f>
        <v>0</v>
      </c>
      <c r="J25" s="22">
        <f>SUM(J26:J28)</f>
        <v>0</v>
      </c>
      <c r="K25" s="22">
        <f>SUM(K26:K28)</f>
        <v>0</v>
      </c>
      <c r="L25" s="17"/>
      <c r="AI25" s="17"/>
      <c r="AS25" s="22">
        <f>SUM(AJ26:AJ28)</f>
        <v>0</v>
      </c>
      <c r="AT25" s="22">
        <f>SUM(AK26:AK28)</f>
        <v>0</v>
      </c>
      <c r="AU25" s="22">
        <f>SUM(AL26:AL28)</f>
        <v>0</v>
      </c>
    </row>
    <row r="26" spans="1:62" x14ac:dyDescent="0.25">
      <c r="A26" s="3" t="s">
        <v>80</v>
      </c>
      <c r="B26" s="3" t="s">
        <v>81</v>
      </c>
      <c r="C26" s="53" t="s">
        <v>82</v>
      </c>
      <c r="D26" s="53"/>
      <c r="E26" s="53"/>
      <c r="F26" s="3" t="s">
        <v>51</v>
      </c>
      <c r="G26" s="23">
        <v>5354</v>
      </c>
      <c r="H26" s="23">
        <v>0</v>
      </c>
      <c r="I26" s="23">
        <f>G26*AO26</f>
        <v>0</v>
      </c>
      <c r="J26" s="23">
        <f>G26*AP26</f>
        <v>0</v>
      </c>
      <c r="K26" s="23">
        <f>G26*H26</f>
        <v>0</v>
      </c>
      <c r="L26" s="24" t="s">
        <v>52</v>
      </c>
      <c r="Z26" s="23">
        <f>IF(AQ26="5",BJ26,0)</f>
        <v>0</v>
      </c>
      <c r="AB26" s="23">
        <f>IF(AQ26="1",BH26,0)</f>
        <v>0</v>
      </c>
      <c r="AC26" s="23">
        <f>IF(AQ26="1",BI26,0)</f>
        <v>0</v>
      </c>
      <c r="AD26" s="23">
        <f>IF(AQ26="7",BH26,0)</f>
        <v>0</v>
      </c>
      <c r="AE26" s="23">
        <f>IF(AQ26="7",BI26,0)</f>
        <v>0</v>
      </c>
      <c r="AF26" s="23">
        <f>IF(AQ26="2",BH26,0)</f>
        <v>0</v>
      </c>
      <c r="AG26" s="23">
        <f>IF(AQ26="2",BI26,0)</f>
        <v>0</v>
      </c>
      <c r="AH26" s="23">
        <f>IF(AQ26="0",BJ26,0)</f>
        <v>0</v>
      </c>
      <c r="AI26" s="17"/>
      <c r="AJ26" s="23">
        <f>IF(AN26=0,K26,0)</f>
        <v>0</v>
      </c>
      <c r="AK26" s="23">
        <f>IF(AN26=15,K26,0)</f>
        <v>0</v>
      </c>
      <c r="AL26" s="23">
        <f>IF(AN26=21,K26,0)</f>
        <v>0</v>
      </c>
      <c r="AN26" s="23">
        <v>21</v>
      </c>
      <c r="AO26" s="23">
        <f>H26*0.235294117647059</f>
        <v>0</v>
      </c>
      <c r="AP26" s="23">
        <f>H26*(1-0.235294117647059)</f>
        <v>0</v>
      </c>
      <c r="AQ26" s="24" t="s">
        <v>49</v>
      </c>
      <c r="AV26" s="23">
        <f>AW26+AX26</f>
        <v>0</v>
      </c>
      <c r="AW26" s="23">
        <f>G26*AO26</f>
        <v>0</v>
      </c>
      <c r="AX26" s="23">
        <f>G26*AP26</f>
        <v>0</v>
      </c>
      <c r="AY26" s="24" t="s">
        <v>83</v>
      </c>
      <c r="AZ26" s="24" t="s">
        <v>84</v>
      </c>
      <c r="BA26" s="17" t="s">
        <v>55</v>
      </c>
      <c r="BC26" s="23">
        <f>AW26+AX26</f>
        <v>0</v>
      </c>
      <c r="BD26" s="23">
        <f>H26/(100-BE26)*100</f>
        <v>0</v>
      </c>
      <c r="BE26" s="23">
        <v>0</v>
      </c>
      <c r="BF26" s="23">
        <f>26</f>
        <v>26</v>
      </c>
      <c r="BH26" s="23">
        <f>G26*AO26</f>
        <v>0</v>
      </c>
      <c r="BI26" s="23">
        <f>G26*AP26</f>
        <v>0</v>
      </c>
      <c r="BJ26" s="23">
        <f>G26*H26</f>
        <v>0</v>
      </c>
    </row>
    <row r="27" spans="1:62" x14ac:dyDescent="0.25">
      <c r="C27" s="56" t="s">
        <v>56</v>
      </c>
      <c r="D27" s="56"/>
      <c r="E27" s="56"/>
      <c r="G27" s="25">
        <v>5354</v>
      </c>
    </row>
    <row r="28" spans="1:62" x14ac:dyDescent="0.25">
      <c r="A28" s="3" t="s">
        <v>85</v>
      </c>
      <c r="B28" s="3" t="s">
        <v>86</v>
      </c>
      <c r="C28" s="53" t="s">
        <v>87</v>
      </c>
      <c r="D28" s="53"/>
      <c r="E28" s="53"/>
      <c r="F28" s="3" t="s">
        <v>75</v>
      </c>
      <c r="G28" s="23">
        <v>92</v>
      </c>
      <c r="H28" s="23">
        <v>0</v>
      </c>
      <c r="I28" s="23">
        <f>G28*AO28</f>
        <v>0</v>
      </c>
      <c r="J28" s="23">
        <f>G28*AP28</f>
        <v>0</v>
      </c>
      <c r="K28" s="23">
        <f>G28*H28</f>
        <v>0</v>
      </c>
      <c r="L28" s="24" t="s">
        <v>52</v>
      </c>
      <c r="Z28" s="23">
        <f>IF(AQ28="5",BJ28,0)</f>
        <v>0</v>
      </c>
      <c r="AB28" s="23">
        <f>IF(AQ28="1",BH28,0)</f>
        <v>0</v>
      </c>
      <c r="AC28" s="23">
        <f>IF(AQ28="1",BI28,0)</f>
        <v>0</v>
      </c>
      <c r="AD28" s="23">
        <f>IF(AQ28="7",BH28,0)</f>
        <v>0</v>
      </c>
      <c r="AE28" s="23">
        <f>IF(AQ28="7",BI28,0)</f>
        <v>0</v>
      </c>
      <c r="AF28" s="23">
        <f>IF(AQ28="2",BH28,0)</f>
        <v>0</v>
      </c>
      <c r="AG28" s="23">
        <f>IF(AQ28="2",BI28,0)</f>
        <v>0</v>
      </c>
      <c r="AH28" s="23">
        <f>IF(AQ28="0",BJ28,0)</f>
        <v>0</v>
      </c>
      <c r="AI28" s="17"/>
      <c r="AJ28" s="23">
        <f>IF(AN28=0,K28,0)</f>
        <v>0</v>
      </c>
      <c r="AK28" s="23">
        <f>IF(AN28=15,K28,0)</f>
        <v>0</v>
      </c>
      <c r="AL28" s="23">
        <f>IF(AN28=21,K28,0)</f>
        <v>0</v>
      </c>
      <c r="AN28" s="23">
        <v>21</v>
      </c>
      <c r="AO28" s="23">
        <f>H28*0.520715630885122</f>
        <v>0</v>
      </c>
      <c r="AP28" s="23">
        <f>H28*(1-0.520715630885122)</f>
        <v>0</v>
      </c>
      <c r="AQ28" s="24" t="s">
        <v>49</v>
      </c>
      <c r="AV28" s="23">
        <f>AW28+AX28</f>
        <v>0</v>
      </c>
      <c r="AW28" s="23">
        <f>G28*AO28</f>
        <v>0</v>
      </c>
      <c r="AX28" s="23">
        <f>G28*AP28</f>
        <v>0</v>
      </c>
      <c r="AY28" s="24" t="s">
        <v>83</v>
      </c>
      <c r="AZ28" s="24" t="s">
        <v>84</v>
      </c>
      <c r="BA28" s="17" t="s">
        <v>55</v>
      </c>
      <c r="BC28" s="23">
        <f>AW28+AX28</f>
        <v>0</v>
      </c>
      <c r="BD28" s="23">
        <f>H28/(100-BE28)*100</f>
        <v>0</v>
      </c>
      <c r="BE28" s="23">
        <v>0</v>
      </c>
      <c r="BF28" s="23">
        <f>28</f>
        <v>28</v>
      </c>
      <c r="BH28" s="23">
        <f>G28*AO28</f>
        <v>0</v>
      </c>
      <c r="BI28" s="23">
        <f>G28*AP28</f>
        <v>0</v>
      </c>
      <c r="BJ28" s="23">
        <f>G28*H28</f>
        <v>0</v>
      </c>
    </row>
    <row r="29" spans="1:62" x14ac:dyDescent="0.25">
      <c r="C29" s="56" t="s">
        <v>88</v>
      </c>
      <c r="D29" s="56"/>
      <c r="E29" s="56"/>
      <c r="G29" s="25">
        <v>92</v>
      </c>
    </row>
    <row r="30" spans="1:62" x14ac:dyDescent="0.25">
      <c r="C30" s="56" t="s">
        <v>89</v>
      </c>
      <c r="D30" s="56"/>
      <c r="E30" s="56"/>
      <c r="G30" s="25">
        <v>0</v>
      </c>
    </row>
    <row r="31" spans="1:62" x14ac:dyDescent="0.25">
      <c r="A31" s="26"/>
      <c r="B31" s="27" t="s">
        <v>90</v>
      </c>
      <c r="C31" s="57" t="s">
        <v>91</v>
      </c>
      <c r="D31" s="57"/>
      <c r="E31" s="57"/>
      <c r="F31" s="26" t="s">
        <v>4</v>
      </c>
      <c r="G31" s="26" t="s">
        <v>4</v>
      </c>
      <c r="H31" s="26" t="s">
        <v>4</v>
      </c>
      <c r="I31" s="22">
        <f>SUM(I32:I36)</f>
        <v>0</v>
      </c>
      <c r="J31" s="22">
        <f>SUM(J32:J36)</f>
        <v>0</v>
      </c>
      <c r="K31" s="22">
        <f>SUM(K32:K36)</f>
        <v>0</v>
      </c>
      <c r="L31" s="17"/>
      <c r="AI31" s="17"/>
      <c r="AS31" s="22">
        <f>SUM(AJ32:AJ36)</f>
        <v>0</v>
      </c>
      <c r="AT31" s="22">
        <f>SUM(AK32:AK36)</f>
        <v>0</v>
      </c>
      <c r="AU31" s="22">
        <f>SUM(AL32:AL36)</f>
        <v>0</v>
      </c>
    </row>
    <row r="32" spans="1:62" x14ac:dyDescent="0.25">
      <c r="A32" s="3" t="s">
        <v>92</v>
      </c>
      <c r="B32" s="3" t="s">
        <v>93</v>
      </c>
      <c r="C32" s="53" t="s">
        <v>94</v>
      </c>
      <c r="D32" s="53"/>
      <c r="E32" s="53"/>
      <c r="F32" s="3" t="s">
        <v>51</v>
      </c>
      <c r="G32" s="23">
        <v>5354</v>
      </c>
      <c r="H32" s="23">
        <v>0</v>
      </c>
      <c r="I32" s="23">
        <f>G32*AO32</f>
        <v>0</v>
      </c>
      <c r="J32" s="23">
        <f>G32*AP32</f>
        <v>0</v>
      </c>
      <c r="K32" s="23">
        <f>G32*H32</f>
        <v>0</v>
      </c>
      <c r="L32" s="24" t="s">
        <v>52</v>
      </c>
      <c r="Z32" s="23">
        <f>IF(AQ32="5",BJ32,0)</f>
        <v>0</v>
      </c>
      <c r="AB32" s="23">
        <f>IF(AQ32="1",BH32,0)</f>
        <v>0</v>
      </c>
      <c r="AC32" s="23">
        <f>IF(AQ32="1",BI32,0)</f>
        <v>0</v>
      </c>
      <c r="AD32" s="23">
        <f>IF(AQ32="7",BH32,0)</f>
        <v>0</v>
      </c>
      <c r="AE32" s="23">
        <f>IF(AQ32="7",BI32,0)</f>
        <v>0</v>
      </c>
      <c r="AF32" s="23">
        <f>IF(AQ32="2",BH32,0)</f>
        <v>0</v>
      </c>
      <c r="AG32" s="23">
        <f>IF(AQ32="2",BI32,0)</f>
        <v>0</v>
      </c>
      <c r="AH32" s="23">
        <f>IF(AQ32="0",BJ32,0)</f>
        <v>0</v>
      </c>
      <c r="AI32" s="17"/>
      <c r="AJ32" s="23">
        <f>IF(AN32=0,K32,0)</f>
        <v>0</v>
      </c>
      <c r="AK32" s="23">
        <f>IF(AN32=15,K32,0)</f>
        <v>0</v>
      </c>
      <c r="AL32" s="23">
        <f>IF(AN32=21,K32,0)</f>
        <v>0</v>
      </c>
      <c r="AN32" s="23">
        <v>21</v>
      </c>
      <c r="AO32" s="23">
        <f>H32*0</f>
        <v>0</v>
      </c>
      <c r="AP32" s="23">
        <f>H32*(1-0)</f>
        <v>0</v>
      </c>
      <c r="AQ32" s="24" t="s">
        <v>49</v>
      </c>
      <c r="AV32" s="23">
        <f>AW32+AX32</f>
        <v>0</v>
      </c>
      <c r="AW32" s="23">
        <f>G32*AO32</f>
        <v>0</v>
      </c>
      <c r="AX32" s="23">
        <f>G32*AP32</f>
        <v>0</v>
      </c>
      <c r="AY32" s="24" t="s">
        <v>95</v>
      </c>
      <c r="AZ32" s="24" t="s">
        <v>84</v>
      </c>
      <c r="BA32" s="17" t="s">
        <v>55</v>
      </c>
      <c r="BC32" s="23">
        <f>AW32+AX32</f>
        <v>0</v>
      </c>
      <c r="BD32" s="23">
        <f>H32/(100-BE32)*100</f>
        <v>0</v>
      </c>
      <c r="BE32" s="23">
        <v>0</v>
      </c>
      <c r="BF32" s="23">
        <f>32</f>
        <v>32</v>
      </c>
      <c r="BH32" s="23">
        <f>G32*AO32</f>
        <v>0</v>
      </c>
      <c r="BI32" s="23">
        <f>G32*AP32</f>
        <v>0</v>
      </c>
      <c r="BJ32" s="23">
        <f>G32*H32</f>
        <v>0</v>
      </c>
    </row>
    <row r="33" spans="1:62" x14ac:dyDescent="0.25">
      <c r="C33" s="56" t="s">
        <v>56</v>
      </c>
      <c r="D33" s="56"/>
      <c r="E33" s="56"/>
      <c r="G33" s="25">
        <v>5354</v>
      </c>
    </row>
    <row r="34" spans="1:62" x14ac:dyDescent="0.25">
      <c r="A34" s="3" t="s">
        <v>96</v>
      </c>
      <c r="B34" s="3" t="s">
        <v>97</v>
      </c>
      <c r="C34" s="53" t="s">
        <v>98</v>
      </c>
      <c r="D34" s="53"/>
      <c r="E34" s="53"/>
      <c r="F34" s="3" t="s">
        <v>75</v>
      </c>
      <c r="G34" s="23">
        <v>1604</v>
      </c>
      <c r="H34" s="23">
        <v>0</v>
      </c>
      <c r="I34" s="23">
        <f>G34*AO34</f>
        <v>0</v>
      </c>
      <c r="J34" s="23">
        <f>G34*AP34</f>
        <v>0</v>
      </c>
      <c r="K34" s="23">
        <f>G34*H34</f>
        <v>0</v>
      </c>
      <c r="L34" s="24"/>
      <c r="Z34" s="23">
        <f>IF(AQ34="5",BJ34,0)</f>
        <v>0</v>
      </c>
      <c r="AB34" s="23">
        <f>IF(AQ34="1",BH34,0)</f>
        <v>0</v>
      </c>
      <c r="AC34" s="23">
        <f>IF(AQ34="1",BI34,0)</f>
        <v>0</v>
      </c>
      <c r="AD34" s="23">
        <f>IF(AQ34="7",BH34,0)</f>
        <v>0</v>
      </c>
      <c r="AE34" s="23">
        <f>IF(AQ34="7",BI34,0)</f>
        <v>0</v>
      </c>
      <c r="AF34" s="23">
        <f>IF(AQ34="2",BH34,0)</f>
        <v>0</v>
      </c>
      <c r="AG34" s="23">
        <f>IF(AQ34="2",BI34,0)</f>
        <v>0</v>
      </c>
      <c r="AH34" s="23">
        <f>IF(AQ34="0",BJ34,0)</f>
        <v>0</v>
      </c>
      <c r="AI34" s="17"/>
      <c r="AJ34" s="23">
        <f>IF(AN34=0,K34,0)</f>
        <v>0</v>
      </c>
      <c r="AK34" s="23">
        <f>IF(AN34=15,K34,0)</f>
        <v>0</v>
      </c>
      <c r="AL34" s="23">
        <f>IF(AN34=21,K34,0)</f>
        <v>0</v>
      </c>
      <c r="AN34" s="23">
        <v>21</v>
      </c>
      <c r="AO34" s="23">
        <f>H34*0</f>
        <v>0</v>
      </c>
      <c r="AP34" s="23">
        <f>H34*(1-0)</f>
        <v>0</v>
      </c>
      <c r="AQ34" s="24" t="s">
        <v>49</v>
      </c>
      <c r="AV34" s="23">
        <f>AW34+AX34</f>
        <v>0</v>
      </c>
      <c r="AW34" s="23">
        <f>G34*AO34</f>
        <v>0</v>
      </c>
      <c r="AX34" s="23">
        <f>G34*AP34</f>
        <v>0</v>
      </c>
      <c r="AY34" s="24" t="s">
        <v>95</v>
      </c>
      <c r="AZ34" s="24" t="s">
        <v>84</v>
      </c>
      <c r="BA34" s="17" t="s">
        <v>55</v>
      </c>
      <c r="BC34" s="23">
        <f>AW34+AX34</f>
        <v>0</v>
      </c>
      <c r="BD34" s="23">
        <f>H34/(100-BE34)*100</f>
        <v>0</v>
      </c>
      <c r="BE34" s="23">
        <v>0</v>
      </c>
      <c r="BF34" s="23">
        <f>34</f>
        <v>34</v>
      </c>
      <c r="BH34" s="23">
        <f>G34*AO34</f>
        <v>0</v>
      </c>
      <c r="BI34" s="23">
        <f>G34*AP34</f>
        <v>0</v>
      </c>
      <c r="BJ34" s="23">
        <f>G34*H34</f>
        <v>0</v>
      </c>
    </row>
    <row r="35" spans="1:62" x14ac:dyDescent="0.25">
      <c r="C35" s="56" t="s">
        <v>99</v>
      </c>
      <c r="D35" s="56"/>
      <c r="E35" s="56"/>
      <c r="G35" s="25">
        <v>1604</v>
      </c>
    </row>
    <row r="36" spans="1:62" x14ac:dyDescent="0.25">
      <c r="A36" s="3" t="s">
        <v>100</v>
      </c>
      <c r="B36" s="3" t="s">
        <v>101</v>
      </c>
      <c r="C36" s="53" t="s">
        <v>102</v>
      </c>
      <c r="D36" s="53"/>
      <c r="E36" s="53"/>
      <c r="F36" s="3" t="s">
        <v>51</v>
      </c>
      <c r="G36" s="23">
        <v>5354</v>
      </c>
      <c r="H36" s="23">
        <v>0</v>
      </c>
      <c r="I36" s="23">
        <f>G36*AO36</f>
        <v>0</v>
      </c>
      <c r="J36" s="23">
        <f>G36*AP36</f>
        <v>0</v>
      </c>
      <c r="K36" s="23">
        <f>G36*H36</f>
        <v>0</v>
      </c>
      <c r="L36" s="24" t="s">
        <v>52</v>
      </c>
      <c r="Z36" s="23">
        <f>IF(AQ36="5",BJ36,0)</f>
        <v>0</v>
      </c>
      <c r="AB36" s="23">
        <f>IF(AQ36="1",BH36,0)</f>
        <v>0</v>
      </c>
      <c r="AC36" s="23">
        <f>IF(AQ36="1",BI36,0)</f>
        <v>0</v>
      </c>
      <c r="AD36" s="23">
        <f>IF(AQ36="7",BH36,0)</f>
        <v>0</v>
      </c>
      <c r="AE36" s="23">
        <f>IF(AQ36="7",BI36,0)</f>
        <v>0</v>
      </c>
      <c r="AF36" s="23">
        <f>IF(AQ36="2",BH36,0)</f>
        <v>0</v>
      </c>
      <c r="AG36" s="23">
        <f>IF(AQ36="2",BI36,0)</f>
        <v>0</v>
      </c>
      <c r="AH36" s="23">
        <f>IF(AQ36="0",BJ36,0)</f>
        <v>0</v>
      </c>
      <c r="AI36" s="17"/>
      <c r="AJ36" s="23">
        <f>IF(AN36=0,K36,0)</f>
        <v>0</v>
      </c>
      <c r="AK36" s="23">
        <f>IF(AN36=15,K36,0)</f>
        <v>0</v>
      </c>
      <c r="AL36" s="23">
        <f>IF(AN36=21,K36,0)</f>
        <v>0</v>
      </c>
      <c r="AN36" s="23">
        <v>21</v>
      </c>
      <c r="AO36" s="23">
        <f>H36*0.0712765957446809</f>
        <v>0</v>
      </c>
      <c r="AP36" s="23">
        <f>H36*(1-0.0712765957446809)</f>
        <v>0</v>
      </c>
      <c r="AQ36" s="24" t="s">
        <v>49</v>
      </c>
      <c r="AV36" s="23">
        <f>AW36+AX36</f>
        <v>0</v>
      </c>
      <c r="AW36" s="23">
        <f>G36*AO36</f>
        <v>0</v>
      </c>
      <c r="AX36" s="23">
        <f>G36*AP36</f>
        <v>0</v>
      </c>
      <c r="AY36" s="24" t="s">
        <v>95</v>
      </c>
      <c r="AZ36" s="24" t="s">
        <v>84</v>
      </c>
      <c r="BA36" s="17" t="s">
        <v>55</v>
      </c>
      <c r="BC36" s="23">
        <f>AW36+AX36</f>
        <v>0</v>
      </c>
      <c r="BD36" s="23">
        <f>H36/(100-BE36)*100</f>
        <v>0</v>
      </c>
      <c r="BE36" s="23">
        <v>0</v>
      </c>
      <c r="BF36" s="23">
        <f>36</f>
        <v>36</v>
      </c>
      <c r="BH36" s="23">
        <f>G36*AO36</f>
        <v>0</v>
      </c>
      <c r="BI36" s="23">
        <f>G36*AP36</f>
        <v>0</v>
      </c>
      <c r="BJ36" s="23">
        <f>G36*H36</f>
        <v>0</v>
      </c>
    </row>
    <row r="37" spans="1:62" x14ac:dyDescent="0.25">
      <c r="C37" s="56" t="s">
        <v>56</v>
      </c>
      <c r="D37" s="56"/>
      <c r="E37" s="56"/>
      <c r="G37" s="25">
        <v>5354</v>
      </c>
    </row>
    <row r="38" spans="1:62" x14ac:dyDescent="0.25">
      <c r="A38" s="26"/>
      <c r="B38" s="27" t="s">
        <v>103</v>
      </c>
      <c r="C38" s="57" t="s">
        <v>104</v>
      </c>
      <c r="D38" s="57"/>
      <c r="E38" s="57"/>
      <c r="F38" s="26" t="s">
        <v>4</v>
      </c>
      <c r="G38" s="26" t="s">
        <v>4</v>
      </c>
      <c r="H38" s="26" t="s">
        <v>4</v>
      </c>
      <c r="I38" s="22">
        <f>SUM(I39:I39)</f>
        <v>0</v>
      </c>
      <c r="J38" s="22">
        <f>SUM(J39:J39)</f>
        <v>0</v>
      </c>
      <c r="K38" s="22">
        <f>SUM(K39:K39)</f>
        <v>0</v>
      </c>
      <c r="L38" s="17"/>
      <c r="AI38" s="17"/>
      <c r="AS38" s="22">
        <f>SUM(AJ39:AJ39)</f>
        <v>0</v>
      </c>
      <c r="AT38" s="22">
        <f>SUM(AK39:AK39)</f>
        <v>0</v>
      </c>
      <c r="AU38" s="22">
        <f>SUM(AL39:AL39)</f>
        <v>0</v>
      </c>
    </row>
    <row r="39" spans="1:62" x14ac:dyDescent="0.25">
      <c r="A39" s="3" t="s">
        <v>47</v>
      </c>
      <c r="B39" s="3" t="s">
        <v>105</v>
      </c>
      <c r="C39" s="53" t="s">
        <v>106</v>
      </c>
      <c r="D39" s="53"/>
      <c r="E39" s="53"/>
      <c r="F39" s="3" t="s">
        <v>107</v>
      </c>
      <c r="G39" s="23">
        <v>558.25073999999995</v>
      </c>
      <c r="H39" s="23">
        <v>0</v>
      </c>
      <c r="I39" s="23">
        <f>G39*AO39</f>
        <v>0</v>
      </c>
      <c r="J39" s="23">
        <f>G39*AP39</f>
        <v>0</v>
      </c>
      <c r="K39" s="23">
        <f>G39*H39</f>
        <v>0</v>
      </c>
      <c r="L39" s="24" t="s">
        <v>52</v>
      </c>
      <c r="Z39" s="23">
        <f>IF(AQ39="5",BJ39,0)</f>
        <v>0</v>
      </c>
      <c r="AB39" s="23">
        <f>IF(AQ39="1",BH39,0)</f>
        <v>0</v>
      </c>
      <c r="AC39" s="23">
        <f>IF(AQ39="1",BI39,0)</f>
        <v>0</v>
      </c>
      <c r="AD39" s="23">
        <f>IF(AQ39="7",BH39,0)</f>
        <v>0</v>
      </c>
      <c r="AE39" s="23">
        <f>IF(AQ39="7",BI39,0)</f>
        <v>0</v>
      </c>
      <c r="AF39" s="23">
        <f>IF(AQ39="2",BH39,0)</f>
        <v>0</v>
      </c>
      <c r="AG39" s="23">
        <f>IF(AQ39="2",BI39,0)</f>
        <v>0</v>
      </c>
      <c r="AH39" s="23">
        <f>IF(AQ39="0",BJ39,0)</f>
        <v>0</v>
      </c>
      <c r="AI39" s="17"/>
      <c r="AJ39" s="23">
        <f>IF(AN39=0,K39,0)</f>
        <v>0</v>
      </c>
      <c r="AK39" s="23">
        <f>IF(AN39=15,K39,0)</f>
        <v>0</v>
      </c>
      <c r="AL39" s="23">
        <f>IF(AN39=21,K39,0)</f>
        <v>0</v>
      </c>
      <c r="AN39" s="23">
        <v>21</v>
      </c>
      <c r="AO39" s="23">
        <f>H39*0</f>
        <v>0</v>
      </c>
      <c r="AP39" s="23">
        <f>H39*(1-0)</f>
        <v>0</v>
      </c>
      <c r="AQ39" s="24" t="s">
        <v>72</v>
      </c>
      <c r="AV39" s="23">
        <f>AW39+AX39</f>
        <v>0</v>
      </c>
      <c r="AW39" s="23">
        <f>G39*AO39</f>
        <v>0</v>
      </c>
      <c r="AX39" s="23">
        <f>G39*AP39</f>
        <v>0</v>
      </c>
      <c r="AY39" s="24" t="s">
        <v>108</v>
      </c>
      <c r="AZ39" s="24" t="s">
        <v>84</v>
      </c>
      <c r="BA39" s="17" t="s">
        <v>55</v>
      </c>
      <c r="BC39" s="23">
        <f>AW39+AX39</f>
        <v>0</v>
      </c>
      <c r="BD39" s="23">
        <f>H39/(100-BE39)*100</f>
        <v>0</v>
      </c>
      <c r="BE39" s="23">
        <v>0</v>
      </c>
      <c r="BF39" s="23">
        <f>39</f>
        <v>39</v>
      </c>
      <c r="BH39" s="23">
        <f>G39*AO39</f>
        <v>0</v>
      </c>
      <c r="BI39" s="23">
        <f>G39*AP39</f>
        <v>0</v>
      </c>
      <c r="BJ39" s="23">
        <f>G39*H39</f>
        <v>0</v>
      </c>
    </row>
    <row r="40" spans="1:62" x14ac:dyDescent="0.25">
      <c r="C40" s="56" t="s">
        <v>109</v>
      </c>
      <c r="D40" s="56"/>
      <c r="E40" s="56"/>
      <c r="G40" s="25">
        <v>558.25073999999995</v>
      </c>
    </row>
    <row r="41" spans="1:62" x14ac:dyDescent="0.25">
      <c r="A41" s="26"/>
      <c r="B41" s="27" t="s">
        <v>110</v>
      </c>
      <c r="C41" s="57" t="s">
        <v>111</v>
      </c>
      <c r="D41" s="57"/>
      <c r="E41" s="57"/>
      <c r="F41" s="26" t="s">
        <v>4</v>
      </c>
      <c r="G41" s="26" t="s">
        <v>4</v>
      </c>
      <c r="H41" s="26" t="s">
        <v>4</v>
      </c>
      <c r="I41" s="22">
        <f>SUM(I42:I48)</f>
        <v>0</v>
      </c>
      <c r="J41" s="22">
        <f>SUM(J42:J48)</f>
        <v>0</v>
      </c>
      <c r="K41" s="22">
        <f>SUM(K42:K48)</f>
        <v>0</v>
      </c>
      <c r="L41" s="17"/>
      <c r="AI41" s="17"/>
      <c r="AS41" s="22">
        <f>SUM(AJ42:AJ48)</f>
        <v>0</v>
      </c>
      <c r="AT41" s="22">
        <f>SUM(AK42:AK48)</f>
        <v>0</v>
      </c>
      <c r="AU41" s="22">
        <f>SUM(AL42:AL48)</f>
        <v>0</v>
      </c>
    </row>
    <row r="42" spans="1:62" x14ac:dyDescent="0.25">
      <c r="A42" s="3" t="s">
        <v>112</v>
      </c>
      <c r="B42" s="3" t="s">
        <v>113</v>
      </c>
      <c r="C42" s="53" t="s">
        <v>114</v>
      </c>
      <c r="D42" s="53"/>
      <c r="E42" s="53"/>
      <c r="F42" s="3" t="s">
        <v>107</v>
      </c>
      <c r="G42" s="23">
        <v>588.99354000000005</v>
      </c>
      <c r="H42" s="23">
        <v>0</v>
      </c>
      <c r="I42" s="23">
        <f>G42*AO42</f>
        <v>0</v>
      </c>
      <c r="J42" s="23">
        <f>G42*AP42</f>
        <v>0</v>
      </c>
      <c r="K42" s="23">
        <f>G42*H42</f>
        <v>0</v>
      </c>
      <c r="L42" s="24" t="s">
        <v>52</v>
      </c>
      <c r="Z42" s="23">
        <f>IF(AQ42="5",BJ42,0)</f>
        <v>0</v>
      </c>
      <c r="AB42" s="23">
        <f>IF(AQ42="1",BH42,0)</f>
        <v>0</v>
      </c>
      <c r="AC42" s="23">
        <f>IF(AQ42="1",BI42,0)</f>
        <v>0</v>
      </c>
      <c r="AD42" s="23">
        <f>IF(AQ42="7",BH42,0)</f>
        <v>0</v>
      </c>
      <c r="AE42" s="23">
        <f>IF(AQ42="7",BI42,0)</f>
        <v>0</v>
      </c>
      <c r="AF42" s="23">
        <f>IF(AQ42="2",BH42,0)</f>
        <v>0</v>
      </c>
      <c r="AG42" s="23">
        <f>IF(AQ42="2",BI42,0)</f>
        <v>0</v>
      </c>
      <c r="AH42" s="23">
        <f>IF(AQ42="0",BJ42,0)</f>
        <v>0</v>
      </c>
      <c r="AI42" s="17"/>
      <c r="AJ42" s="23">
        <f>IF(AN42=0,K42,0)</f>
        <v>0</v>
      </c>
      <c r="AK42" s="23">
        <f>IF(AN42=15,K42,0)</f>
        <v>0</v>
      </c>
      <c r="AL42" s="23">
        <f>IF(AN42=21,K42,0)</f>
        <v>0</v>
      </c>
      <c r="AN42" s="23">
        <v>21</v>
      </c>
      <c r="AO42" s="23">
        <f>H42*0</f>
        <v>0</v>
      </c>
      <c r="AP42" s="23">
        <f>H42*(1-0)</f>
        <v>0</v>
      </c>
      <c r="AQ42" s="24" t="s">
        <v>72</v>
      </c>
      <c r="AV42" s="23">
        <f>AW42+AX42</f>
        <v>0</v>
      </c>
      <c r="AW42" s="23">
        <f>G42*AO42</f>
        <v>0</v>
      </c>
      <c r="AX42" s="23">
        <f>G42*AP42</f>
        <v>0</v>
      </c>
      <c r="AY42" s="24" t="s">
        <v>115</v>
      </c>
      <c r="AZ42" s="24" t="s">
        <v>84</v>
      </c>
      <c r="BA42" s="17" t="s">
        <v>55</v>
      </c>
      <c r="BC42" s="23">
        <f>AW42+AX42</f>
        <v>0</v>
      </c>
      <c r="BD42" s="23">
        <f>H42/(100-BE42)*100</f>
        <v>0</v>
      </c>
      <c r="BE42" s="23">
        <v>0</v>
      </c>
      <c r="BF42" s="23">
        <f>42</f>
        <v>42</v>
      </c>
      <c r="BH42" s="23">
        <f>G42*AO42</f>
        <v>0</v>
      </c>
      <c r="BI42" s="23">
        <f>G42*AP42</f>
        <v>0</v>
      </c>
      <c r="BJ42" s="23">
        <f>G42*H42</f>
        <v>0</v>
      </c>
    </row>
    <row r="43" spans="1:62" x14ac:dyDescent="0.25">
      <c r="C43" s="56" t="s">
        <v>116</v>
      </c>
      <c r="D43" s="56"/>
      <c r="E43" s="56"/>
      <c r="G43" s="25">
        <v>588.99354000000005</v>
      </c>
    </row>
    <row r="44" spans="1:62" x14ac:dyDescent="0.25">
      <c r="A44" s="3" t="s">
        <v>117</v>
      </c>
      <c r="B44" s="3" t="s">
        <v>118</v>
      </c>
      <c r="C44" s="53" t="s">
        <v>119</v>
      </c>
      <c r="D44" s="53"/>
      <c r="E44" s="53"/>
      <c r="F44" s="3" t="s">
        <v>107</v>
      </c>
      <c r="G44" s="23">
        <v>588.99354000000005</v>
      </c>
      <c r="H44" s="23">
        <v>0</v>
      </c>
      <c r="I44" s="23">
        <f>G44*AO44</f>
        <v>0</v>
      </c>
      <c r="J44" s="23">
        <f>G44*AP44</f>
        <v>0</v>
      </c>
      <c r="K44" s="23">
        <f>G44*H44</f>
        <v>0</v>
      </c>
      <c r="L44" s="24" t="s">
        <v>52</v>
      </c>
      <c r="Z44" s="23">
        <f>IF(AQ44="5",BJ44,0)</f>
        <v>0</v>
      </c>
      <c r="AB44" s="23">
        <f>IF(AQ44="1",BH44,0)</f>
        <v>0</v>
      </c>
      <c r="AC44" s="23">
        <f>IF(AQ44="1",BI44,0)</f>
        <v>0</v>
      </c>
      <c r="AD44" s="23">
        <f>IF(AQ44="7",BH44,0)</f>
        <v>0</v>
      </c>
      <c r="AE44" s="23">
        <f>IF(AQ44="7",BI44,0)</f>
        <v>0</v>
      </c>
      <c r="AF44" s="23">
        <f>IF(AQ44="2",BH44,0)</f>
        <v>0</v>
      </c>
      <c r="AG44" s="23">
        <f>IF(AQ44="2",BI44,0)</f>
        <v>0</v>
      </c>
      <c r="AH44" s="23">
        <f>IF(AQ44="0",BJ44,0)</f>
        <v>0</v>
      </c>
      <c r="AI44" s="17"/>
      <c r="AJ44" s="23">
        <f>IF(AN44=0,K44,0)</f>
        <v>0</v>
      </c>
      <c r="AK44" s="23">
        <f>IF(AN44=15,K44,0)</f>
        <v>0</v>
      </c>
      <c r="AL44" s="23">
        <f>IF(AN44=21,K44,0)</f>
        <v>0</v>
      </c>
      <c r="AN44" s="23">
        <v>21</v>
      </c>
      <c r="AO44" s="23">
        <f>H44*0</f>
        <v>0</v>
      </c>
      <c r="AP44" s="23">
        <f>H44*(1-0)</f>
        <v>0</v>
      </c>
      <c r="AQ44" s="24" t="s">
        <v>72</v>
      </c>
      <c r="AV44" s="23">
        <f>AW44+AX44</f>
        <v>0</v>
      </c>
      <c r="AW44" s="23">
        <f>G44*AO44</f>
        <v>0</v>
      </c>
      <c r="AX44" s="23">
        <f>G44*AP44</f>
        <v>0</v>
      </c>
      <c r="AY44" s="24" t="s">
        <v>115</v>
      </c>
      <c r="AZ44" s="24" t="s">
        <v>84</v>
      </c>
      <c r="BA44" s="17" t="s">
        <v>55</v>
      </c>
      <c r="BC44" s="23">
        <f>AW44+AX44</f>
        <v>0</v>
      </c>
      <c r="BD44" s="23">
        <f>H44/(100-BE44)*100</f>
        <v>0</v>
      </c>
      <c r="BE44" s="23">
        <v>0</v>
      </c>
      <c r="BF44" s="23">
        <f>44</f>
        <v>44</v>
      </c>
      <c r="BH44" s="23">
        <f>G44*AO44</f>
        <v>0</v>
      </c>
      <c r="BI44" s="23">
        <f>G44*AP44</f>
        <v>0</v>
      </c>
      <c r="BJ44" s="23">
        <f>G44*H44</f>
        <v>0</v>
      </c>
    </row>
    <row r="45" spans="1:62" x14ac:dyDescent="0.25">
      <c r="C45" s="56" t="s">
        <v>116</v>
      </c>
      <c r="D45" s="56"/>
      <c r="E45" s="56"/>
      <c r="G45" s="25">
        <v>588.99354000000005</v>
      </c>
    </row>
    <row r="46" spans="1:62" x14ac:dyDescent="0.25">
      <c r="A46" s="3" t="s">
        <v>120</v>
      </c>
      <c r="B46" s="3" t="s">
        <v>121</v>
      </c>
      <c r="C46" s="53" t="s">
        <v>122</v>
      </c>
      <c r="D46" s="53"/>
      <c r="E46" s="53"/>
      <c r="F46" s="3" t="s">
        <v>107</v>
      </c>
      <c r="G46" s="23">
        <v>11190.877259999999</v>
      </c>
      <c r="H46" s="23">
        <v>0</v>
      </c>
      <c r="I46" s="23">
        <f>G46*AO46</f>
        <v>0</v>
      </c>
      <c r="J46" s="23">
        <f>G46*AP46</f>
        <v>0</v>
      </c>
      <c r="K46" s="23">
        <f>G46*H46</f>
        <v>0</v>
      </c>
      <c r="L46" s="24" t="s">
        <v>52</v>
      </c>
      <c r="Z46" s="23">
        <f>IF(AQ46="5",BJ46,0)</f>
        <v>0</v>
      </c>
      <c r="AB46" s="23">
        <f>IF(AQ46="1",BH46,0)</f>
        <v>0</v>
      </c>
      <c r="AC46" s="23">
        <f>IF(AQ46="1",BI46,0)</f>
        <v>0</v>
      </c>
      <c r="AD46" s="23">
        <f>IF(AQ46="7",BH46,0)</f>
        <v>0</v>
      </c>
      <c r="AE46" s="23">
        <f>IF(AQ46="7",BI46,0)</f>
        <v>0</v>
      </c>
      <c r="AF46" s="23">
        <f>IF(AQ46="2",BH46,0)</f>
        <v>0</v>
      </c>
      <c r="AG46" s="23">
        <f>IF(AQ46="2",BI46,0)</f>
        <v>0</v>
      </c>
      <c r="AH46" s="23">
        <f>IF(AQ46="0",BJ46,0)</f>
        <v>0</v>
      </c>
      <c r="AI46" s="17"/>
      <c r="AJ46" s="23">
        <f>IF(AN46=0,K46,0)</f>
        <v>0</v>
      </c>
      <c r="AK46" s="23">
        <f>IF(AN46=15,K46,0)</f>
        <v>0</v>
      </c>
      <c r="AL46" s="23">
        <f>IF(AN46=21,K46,0)</f>
        <v>0</v>
      </c>
      <c r="AN46" s="23">
        <v>21</v>
      </c>
      <c r="AO46" s="23">
        <f>H46*0</f>
        <v>0</v>
      </c>
      <c r="AP46" s="23">
        <f>H46*(1-0)</f>
        <v>0</v>
      </c>
      <c r="AQ46" s="24" t="s">
        <v>72</v>
      </c>
      <c r="AV46" s="23">
        <f>AW46+AX46</f>
        <v>0</v>
      </c>
      <c r="AW46" s="23">
        <f>G46*AO46</f>
        <v>0</v>
      </c>
      <c r="AX46" s="23">
        <f>G46*AP46</f>
        <v>0</v>
      </c>
      <c r="AY46" s="24" t="s">
        <v>115</v>
      </c>
      <c r="AZ46" s="24" t="s">
        <v>84</v>
      </c>
      <c r="BA46" s="17" t="s">
        <v>55</v>
      </c>
      <c r="BC46" s="23">
        <f>AW46+AX46</f>
        <v>0</v>
      </c>
      <c r="BD46" s="23">
        <f>H46/(100-BE46)*100</f>
        <v>0</v>
      </c>
      <c r="BE46" s="23">
        <v>0</v>
      </c>
      <c r="BF46" s="23">
        <f>46</f>
        <v>46</v>
      </c>
      <c r="BH46" s="23">
        <f>G46*AO46</f>
        <v>0</v>
      </c>
      <c r="BI46" s="23">
        <f>G46*AP46</f>
        <v>0</v>
      </c>
      <c r="BJ46" s="23">
        <f>G46*H46</f>
        <v>0</v>
      </c>
    </row>
    <row r="47" spans="1:62" x14ac:dyDescent="0.25">
      <c r="C47" s="56" t="s">
        <v>123</v>
      </c>
      <c r="D47" s="56"/>
      <c r="E47" s="56"/>
      <c r="G47" s="25">
        <v>11190.877259999999</v>
      </c>
    </row>
    <row r="48" spans="1:62" x14ac:dyDescent="0.25">
      <c r="A48" s="3" t="s">
        <v>124</v>
      </c>
      <c r="B48" s="3" t="s">
        <v>125</v>
      </c>
      <c r="C48" s="53" t="s">
        <v>126</v>
      </c>
      <c r="D48" s="53"/>
      <c r="E48" s="53"/>
      <c r="F48" s="3" t="s">
        <v>107</v>
      </c>
      <c r="G48" s="23">
        <v>588.99354000000005</v>
      </c>
      <c r="H48" s="23">
        <v>0</v>
      </c>
      <c r="I48" s="23">
        <f>G48*AO48</f>
        <v>0</v>
      </c>
      <c r="J48" s="23">
        <f>G48*AP48</f>
        <v>0</v>
      </c>
      <c r="K48" s="23">
        <f>G48*H48</f>
        <v>0</v>
      </c>
      <c r="L48" s="24" t="s">
        <v>52</v>
      </c>
      <c r="Z48" s="23">
        <f>IF(AQ48="5",BJ48,0)</f>
        <v>0</v>
      </c>
      <c r="AB48" s="23">
        <f>IF(AQ48="1",BH48,0)</f>
        <v>0</v>
      </c>
      <c r="AC48" s="23">
        <f>IF(AQ48="1",BI48,0)</f>
        <v>0</v>
      </c>
      <c r="AD48" s="23">
        <f>IF(AQ48="7",BH48,0)</f>
        <v>0</v>
      </c>
      <c r="AE48" s="23">
        <f>IF(AQ48="7",BI48,0)</f>
        <v>0</v>
      </c>
      <c r="AF48" s="23">
        <f>IF(AQ48="2",BH48,0)</f>
        <v>0</v>
      </c>
      <c r="AG48" s="23">
        <f>IF(AQ48="2",BI48,0)</f>
        <v>0</v>
      </c>
      <c r="AH48" s="23">
        <f>IF(AQ48="0",BJ48,0)</f>
        <v>0</v>
      </c>
      <c r="AI48" s="17"/>
      <c r="AJ48" s="23">
        <f>IF(AN48=0,K48,0)</f>
        <v>0</v>
      </c>
      <c r="AK48" s="23">
        <f>IF(AN48=15,K48,0)</f>
        <v>0</v>
      </c>
      <c r="AL48" s="23">
        <f>IF(AN48=21,K48,0)</f>
        <v>0</v>
      </c>
      <c r="AN48" s="23">
        <v>21</v>
      </c>
      <c r="AO48" s="23">
        <f>H48*0</f>
        <v>0</v>
      </c>
      <c r="AP48" s="23">
        <f>H48*(1-0)</f>
        <v>0</v>
      </c>
      <c r="AQ48" s="24" t="s">
        <v>72</v>
      </c>
      <c r="AV48" s="23">
        <f>AW48+AX48</f>
        <v>0</v>
      </c>
      <c r="AW48" s="23">
        <f>G48*AO48</f>
        <v>0</v>
      </c>
      <c r="AX48" s="23">
        <f>G48*AP48</f>
        <v>0</v>
      </c>
      <c r="AY48" s="24" t="s">
        <v>115</v>
      </c>
      <c r="AZ48" s="24" t="s">
        <v>84</v>
      </c>
      <c r="BA48" s="17" t="s">
        <v>55</v>
      </c>
      <c r="BC48" s="23">
        <f>AW48+AX48</f>
        <v>0</v>
      </c>
      <c r="BD48" s="23">
        <f>H48/(100-BE48)*100</f>
        <v>0</v>
      </c>
      <c r="BE48" s="23">
        <v>0</v>
      </c>
      <c r="BF48" s="23">
        <f>48</f>
        <v>48</v>
      </c>
      <c r="BH48" s="23">
        <f>G48*AO48</f>
        <v>0</v>
      </c>
      <c r="BI48" s="23">
        <f>G48*AP48</f>
        <v>0</v>
      </c>
      <c r="BJ48" s="23">
        <f>G48*H48</f>
        <v>0</v>
      </c>
    </row>
    <row r="49" spans="1:62" x14ac:dyDescent="0.25">
      <c r="C49" s="56" t="s">
        <v>116</v>
      </c>
      <c r="D49" s="56"/>
      <c r="E49" s="56"/>
      <c r="G49" s="25">
        <v>588.99354000000005</v>
      </c>
    </row>
    <row r="50" spans="1:62" x14ac:dyDescent="0.25">
      <c r="A50" s="26"/>
      <c r="B50" s="27" t="s">
        <v>127</v>
      </c>
      <c r="C50" s="57" t="s">
        <v>128</v>
      </c>
      <c r="D50" s="57"/>
      <c r="E50" s="57"/>
      <c r="F50" s="26" t="s">
        <v>4</v>
      </c>
      <c r="G50" s="26" t="s">
        <v>4</v>
      </c>
      <c r="H50" s="26" t="s">
        <v>4</v>
      </c>
      <c r="I50" s="22">
        <f>SUM(I51:I55)</f>
        <v>0</v>
      </c>
      <c r="J50" s="22">
        <f>SUM(J51:J55)</f>
        <v>0</v>
      </c>
      <c r="K50" s="22">
        <f>SUM(K51:K55)</f>
        <v>0</v>
      </c>
      <c r="L50" s="17"/>
      <c r="AI50" s="17"/>
      <c r="AS50" s="22">
        <f>SUM(AJ51:AJ55)</f>
        <v>0</v>
      </c>
      <c r="AT50" s="22">
        <f>SUM(AK51:AK55)</f>
        <v>0</v>
      </c>
      <c r="AU50" s="22">
        <f>SUM(AL51:AL55)</f>
        <v>0</v>
      </c>
    </row>
    <row r="51" spans="1:62" x14ac:dyDescent="0.25">
      <c r="A51" s="3" t="s">
        <v>129</v>
      </c>
      <c r="B51" s="3" t="s">
        <v>130</v>
      </c>
      <c r="C51" s="53" t="s">
        <v>131</v>
      </c>
      <c r="D51" s="53"/>
      <c r="E51" s="53"/>
      <c r="F51" s="3" t="s">
        <v>132</v>
      </c>
      <c r="G51" s="23">
        <v>3.25</v>
      </c>
      <c r="H51" s="23">
        <v>0</v>
      </c>
      <c r="I51" s="23">
        <f>G51*AO51</f>
        <v>0</v>
      </c>
      <c r="J51" s="23">
        <f>G51*AP51</f>
        <v>0</v>
      </c>
      <c r="K51" s="23">
        <f>G51*H51</f>
        <v>0</v>
      </c>
      <c r="L51" s="24"/>
      <c r="Z51" s="23">
        <f>IF(AQ51="5",BJ51,0)</f>
        <v>0</v>
      </c>
      <c r="AB51" s="23">
        <f>IF(AQ51="1",BH51,0)</f>
        <v>0</v>
      </c>
      <c r="AC51" s="23">
        <f>IF(AQ51="1",BI51,0)</f>
        <v>0</v>
      </c>
      <c r="AD51" s="23">
        <f>IF(AQ51="7",BH51,0)</f>
        <v>0</v>
      </c>
      <c r="AE51" s="23">
        <f>IF(AQ51="7",BI51,0)</f>
        <v>0</v>
      </c>
      <c r="AF51" s="23">
        <f>IF(AQ51="2",BH51,0)</f>
        <v>0</v>
      </c>
      <c r="AG51" s="23">
        <f>IF(AQ51="2",BI51,0)</f>
        <v>0</v>
      </c>
      <c r="AH51" s="23">
        <f>IF(AQ51="0",BJ51,0)</f>
        <v>0</v>
      </c>
      <c r="AI51" s="17"/>
      <c r="AJ51" s="23">
        <f>IF(AN51=0,K51,0)</f>
        <v>0</v>
      </c>
      <c r="AK51" s="23">
        <f>IF(AN51=15,K51,0)</f>
        <v>0</v>
      </c>
      <c r="AL51" s="23">
        <f>IF(AN51=21,K51,0)</f>
        <v>0</v>
      </c>
      <c r="AN51" s="23">
        <v>21</v>
      </c>
      <c r="AO51" s="23">
        <f>H51*0</f>
        <v>0</v>
      </c>
      <c r="AP51" s="23">
        <f>H51*(1-0)</f>
        <v>0</v>
      </c>
      <c r="AQ51" s="24" t="s">
        <v>49</v>
      </c>
      <c r="AV51" s="23">
        <f>AW51+AX51</f>
        <v>0</v>
      </c>
      <c r="AW51" s="23">
        <f>G51*AO51</f>
        <v>0</v>
      </c>
      <c r="AX51" s="23">
        <f>G51*AP51</f>
        <v>0</v>
      </c>
      <c r="AY51" s="24" t="s">
        <v>133</v>
      </c>
      <c r="AZ51" s="24" t="s">
        <v>134</v>
      </c>
      <c r="BA51" s="17" t="s">
        <v>55</v>
      </c>
      <c r="BC51" s="23">
        <f>AW51+AX51</f>
        <v>0</v>
      </c>
      <c r="BD51" s="23">
        <f>H51/(100-BE51)*100</f>
        <v>0</v>
      </c>
      <c r="BE51" s="23">
        <v>0</v>
      </c>
      <c r="BF51" s="23">
        <f>51</f>
        <v>51</v>
      </c>
      <c r="BH51" s="23">
        <f>G51*AO51</f>
        <v>0</v>
      </c>
      <c r="BI51" s="23">
        <f>G51*AP51</f>
        <v>0</v>
      </c>
      <c r="BJ51" s="23">
        <f>G51*H51</f>
        <v>0</v>
      </c>
    </row>
    <row r="52" spans="1:62" x14ac:dyDescent="0.25">
      <c r="A52" s="3" t="s">
        <v>135</v>
      </c>
      <c r="B52" s="3" t="s">
        <v>136</v>
      </c>
      <c r="C52" s="53" t="s">
        <v>137</v>
      </c>
      <c r="D52" s="53"/>
      <c r="E52" s="53"/>
      <c r="F52" s="3" t="s">
        <v>132</v>
      </c>
      <c r="G52" s="23">
        <v>2.35</v>
      </c>
      <c r="H52" s="23">
        <v>0</v>
      </c>
      <c r="I52" s="23">
        <f>G52*AO52</f>
        <v>0</v>
      </c>
      <c r="J52" s="23">
        <f>G52*AP52</f>
        <v>0</v>
      </c>
      <c r="K52" s="23">
        <f>G52*H52</f>
        <v>0</v>
      </c>
      <c r="L52" s="24"/>
      <c r="Z52" s="23">
        <f>IF(AQ52="5",BJ52,0)</f>
        <v>0</v>
      </c>
      <c r="AB52" s="23">
        <f>IF(AQ52="1",BH52,0)</f>
        <v>0</v>
      </c>
      <c r="AC52" s="23">
        <f>IF(AQ52="1",BI52,0)</f>
        <v>0</v>
      </c>
      <c r="AD52" s="23">
        <f>IF(AQ52="7",BH52,0)</f>
        <v>0</v>
      </c>
      <c r="AE52" s="23">
        <f>IF(AQ52="7",BI52,0)</f>
        <v>0</v>
      </c>
      <c r="AF52" s="23">
        <f>IF(AQ52="2",BH52,0)</f>
        <v>0</v>
      </c>
      <c r="AG52" s="23">
        <f>IF(AQ52="2",BI52,0)</f>
        <v>0</v>
      </c>
      <c r="AH52" s="23">
        <f>IF(AQ52="0",BJ52,0)</f>
        <v>0</v>
      </c>
      <c r="AI52" s="17"/>
      <c r="AJ52" s="23">
        <f>IF(AN52=0,K52,0)</f>
        <v>0</v>
      </c>
      <c r="AK52" s="23">
        <f>IF(AN52=15,K52,0)</f>
        <v>0</v>
      </c>
      <c r="AL52" s="23">
        <f>IF(AN52=21,K52,0)</f>
        <v>0</v>
      </c>
      <c r="AN52" s="23">
        <v>21</v>
      </c>
      <c r="AO52" s="23">
        <f>H52*0</f>
        <v>0</v>
      </c>
      <c r="AP52" s="23">
        <f>H52*(1-0)</f>
        <v>0</v>
      </c>
      <c r="AQ52" s="24" t="s">
        <v>49</v>
      </c>
      <c r="AV52" s="23">
        <f>AW52+AX52</f>
        <v>0</v>
      </c>
      <c r="AW52" s="23">
        <f>G52*AO52</f>
        <v>0</v>
      </c>
      <c r="AX52" s="23">
        <f>G52*AP52</f>
        <v>0</v>
      </c>
      <c r="AY52" s="24" t="s">
        <v>133</v>
      </c>
      <c r="AZ52" s="24" t="s">
        <v>134</v>
      </c>
      <c r="BA52" s="17" t="s">
        <v>55</v>
      </c>
      <c r="BC52" s="23">
        <f>AW52+AX52</f>
        <v>0</v>
      </c>
      <c r="BD52" s="23">
        <f>H52/(100-BE52)*100</f>
        <v>0</v>
      </c>
      <c r="BE52" s="23">
        <v>0</v>
      </c>
      <c r="BF52" s="23">
        <f>52</f>
        <v>52</v>
      </c>
      <c r="BH52" s="23">
        <f>G52*AO52</f>
        <v>0</v>
      </c>
      <c r="BI52" s="23">
        <f>G52*AP52</f>
        <v>0</v>
      </c>
      <c r="BJ52" s="23">
        <f>G52*H52</f>
        <v>0</v>
      </c>
    </row>
    <row r="53" spans="1:62" x14ac:dyDescent="0.25">
      <c r="A53" s="3" t="s">
        <v>138</v>
      </c>
      <c r="B53" s="3" t="s">
        <v>139</v>
      </c>
      <c r="C53" s="53" t="s">
        <v>140</v>
      </c>
      <c r="D53" s="53"/>
      <c r="E53" s="53"/>
      <c r="F53" s="3" t="s">
        <v>132</v>
      </c>
      <c r="G53" s="23">
        <v>1.6</v>
      </c>
      <c r="H53" s="23">
        <v>0</v>
      </c>
      <c r="I53" s="23">
        <f>G53*AO53</f>
        <v>0</v>
      </c>
      <c r="J53" s="23">
        <f>G53*AP53</f>
        <v>0</v>
      </c>
      <c r="K53" s="23">
        <f>G53*H53</f>
        <v>0</v>
      </c>
      <c r="L53" s="24"/>
      <c r="Z53" s="23">
        <f>IF(AQ53="5",BJ53,0)</f>
        <v>0</v>
      </c>
      <c r="AB53" s="23">
        <f>IF(AQ53="1",BH53,0)</f>
        <v>0</v>
      </c>
      <c r="AC53" s="23">
        <f>IF(AQ53="1",BI53,0)</f>
        <v>0</v>
      </c>
      <c r="AD53" s="23">
        <f>IF(AQ53="7",BH53,0)</f>
        <v>0</v>
      </c>
      <c r="AE53" s="23">
        <f>IF(AQ53="7",BI53,0)</f>
        <v>0</v>
      </c>
      <c r="AF53" s="23">
        <f>IF(AQ53="2",BH53,0)</f>
        <v>0</v>
      </c>
      <c r="AG53" s="23">
        <f>IF(AQ53="2",BI53,0)</f>
        <v>0</v>
      </c>
      <c r="AH53" s="23">
        <f>IF(AQ53="0",BJ53,0)</f>
        <v>0</v>
      </c>
      <c r="AI53" s="17"/>
      <c r="AJ53" s="23">
        <f>IF(AN53=0,K53,0)</f>
        <v>0</v>
      </c>
      <c r="AK53" s="23">
        <f>IF(AN53=15,K53,0)</f>
        <v>0</v>
      </c>
      <c r="AL53" s="23">
        <f>IF(AN53=21,K53,0)</f>
        <v>0</v>
      </c>
      <c r="AN53" s="23">
        <v>21</v>
      </c>
      <c r="AO53" s="23">
        <f>H53*0</f>
        <v>0</v>
      </c>
      <c r="AP53" s="23">
        <f>H53*(1-0)</f>
        <v>0</v>
      </c>
      <c r="AQ53" s="24" t="s">
        <v>49</v>
      </c>
      <c r="AV53" s="23">
        <f>AW53+AX53</f>
        <v>0</v>
      </c>
      <c r="AW53" s="23">
        <f>G53*AO53</f>
        <v>0</v>
      </c>
      <c r="AX53" s="23">
        <f>G53*AP53</f>
        <v>0</v>
      </c>
      <c r="AY53" s="24" t="s">
        <v>133</v>
      </c>
      <c r="AZ53" s="24" t="s">
        <v>134</v>
      </c>
      <c r="BA53" s="17" t="s">
        <v>55</v>
      </c>
      <c r="BC53" s="23">
        <f>AW53+AX53</f>
        <v>0</v>
      </c>
      <c r="BD53" s="23">
        <f>H53/(100-BE53)*100</f>
        <v>0</v>
      </c>
      <c r="BE53" s="23">
        <v>0</v>
      </c>
      <c r="BF53" s="23">
        <f>53</f>
        <v>53</v>
      </c>
      <c r="BH53" s="23">
        <f>G53*AO53</f>
        <v>0</v>
      </c>
      <c r="BI53" s="23">
        <f>G53*AP53</f>
        <v>0</v>
      </c>
      <c r="BJ53" s="23">
        <f>G53*H53</f>
        <v>0</v>
      </c>
    </row>
    <row r="54" spans="1:62" x14ac:dyDescent="0.25">
      <c r="A54" s="3" t="s">
        <v>141</v>
      </c>
      <c r="B54" s="3" t="s">
        <v>142</v>
      </c>
      <c r="C54" s="53" t="s">
        <v>143</v>
      </c>
      <c r="D54" s="53"/>
      <c r="E54" s="53"/>
      <c r="F54" s="3" t="s">
        <v>132</v>
      </c>
      <c r="G54" s="23">
        <v>0</v>
      </c>
      <c r="H54" s="23">
        <v>0</v>
      </c>
      <c r="I54" s="23">
        <f>G54*AO54</f>
        <v>0</v>
      </c>
      <c r="J54" s="23">
        <f>G54*AP54</f>
        <v>0</v>
      </c>
      <c r="K54" s="23">
        <f>G54*H54</f>
        <v>0</v>
      </c>
      <c r="L54" s="24"/>
      <c r="Z54" s="23">
        <f>IF(AQ54="5",BJ54,0)</f>
        <v>0</v>
      </c>
      <c r="AB54" s="23">
        <f>IF(AQ54="1",BH54,0)</f>
        <v>0</v>
      </c>
      <c r="AC54" s="23">
        <f>IF(AQ54="1",BI54,0)</f>
        <v>0</v>
      </c>
      <c r="AD54" s="23">
        <f>IF(AQ54="7",BH54,0)</f>
        <v>0</v>
      </c>
      <c r="AE54" s="23">
        <f>IF(AQ54="7",BI54,0)</f>
        <v>0</v>
      </c>
      <c r="AF54" s="23">
        <f>IF(AQ54="2",BH54,0)</f>
        <v>0</v>
      </c>
      <c r="AG54" s="23">
        <f>IF(AQ54="2",BI54,0)</f>
        <v>0</v>
      </c>
      <c r="AH54" s="23">
        <f>IF(AQ54="0",BJ54,0)</f>
        <v>0</v>
      </c>
      <c r="AI54" s="17"/>
      <c r="AJ54" s="23">
        <f>IF(AN54=0,K54,0)</f>
        <v>0</v>
      </c>
      <c r="AK54" s="23">
        <f>IF(AN54=15,K54,0)</f>
        <v>0</v>
      </c>
      <c r="AL54" s="23">
        <f>IF(AN54=21,K54,0)</f>
        <v>0</v>
      </c>
      <c r="AN54" s="23">
        <v>21</v>
      </c>
      <c r="AO54" s="23">
        <f>H54*0</f>
        <v>0</v>
      </c>
      <c r="AP54" s="23">
        <f>H54*(1-0)</f>
        <v>0</v>
      </c>
      <c r="AQ54" s="24" t="s">
        <v>49</v>
      </c>
      <c r="AV54" s="23">
        <f>AW54+AX54</f>
        <v>0</v>
      </c>
      <c r="AW54" s="23">
        <f>G54*AO54</f>
        <v>0</v>
      </c>
      <c r="AX54" s="23">
        <f>G54*AP54</f>
        <v>0</v>
      </c>
      <c r="AY54" s="24" t="s">
        <v>133</v>
      </c>
      <c r="AZ54" s="24" t="s">
        <v>134</v>
      </c>
      <c r="BA54" s="17" t="s">
        <v>55</v>
      </c>
      <c r="BC54" s="23">
        <f>AW54+AX54</f>
        <v>0</v>
      </c>
      <c r="BD54" s="23">
        <f>H54/(100-BE54)*100</f>
        <v>0</v>
      </c>
      <c r="BE54" s="23">
        <v>0</v>
      </c>
      <c r="BF54" s="23">
        <f>54</f>
        <v>54</v>
      </c>
      <c r="BH54" s="23">
        <f>G54*AO54</f>
        <v>0</v>
      </c>
      <c r="BI54" s="23">
        <f>G54*AP54</f>
        <v>0</v>
      </c>
      <c r="BJ54" s="23">
        <f>G54*H54</f>
        <v>0</v>
      </c>
    </row>
    <row r="55" spans="1:62" x14ac:dyDescent="0.25">
      <c r="A55" s="28" t="s">
        <v>144</v>
      </c>
      <c r="B55" s="28" t="s">
        <v>145</v>
      </c>
      <c r="C55" s="54" t="s">
        <v>146</v>
      </c>
      <c r="D55" s="54"/>
      <c r="E55" s="54"/>
      <c r="F55" s="28" t="s">
        <v>132</v>
      </c>
      <c r="G55" s="29">
        <v>1.5</v>
      </c>
      <c r="H55" s="29">
        <v>0</v>
      </c>
      <c r="I55" s="29">
        <f>G55*AO55</f>
        <v>0</v>
      </c>
      <c r="J55" s="29">
        <f>G55*AP55</f>
        <v>0</v>
      </c>
      <c r="K55" s="29">
        <f>G55*H55</f>
        <v>0</v>
      </c>
      <c r="L55" s="30"/>
      <c r="Z55" s="23">
        <f>IF(AQ55="5",BJ55,0)</f>
        <v>0</v>
      </c>
      <c r="AB55" s="23">
        <f>IF(AQ55="1",BH55,0)</f>
        <v>0</v>
      </c>
      <c r="AC55" s="23">
        <f>IF(AQ55="1",BI55,0)</f>
        <v>0</v>
      </c>
      <c r="AD55" s="23">
        <f>IF(AQ55="7",BH55,0)</f>
        <v>0</v>
      </c>
      <c r="AE55" s="23">
        <f>IF(AQ55="7",BI55,0)</f>
        <v>0</v>
      </c>
      <c r="AF55" s="23">
        <f>IF(AQ55="2",BH55,0)</f>
        <v>0</v>
      </c>
      <c r="AG55" s="23">
        <f>IF(AQ55="2",BI55,0)</f>
        <v>0</v>
      </c>
      <c r="AH55" s="23">
        <f>IF(AQ55="0",BJ55,0)</f>
        <v>0</v>
      </c>
      <c r="AI55" s="17"/>
      <c r="AJ55" s="23">
        <f>IF(AN55=0,K55,0)</f>
        <v>0</v>
      </c>
      <c r="AK55" s="23">
        <f>IF(AN55=15,K55,0)</f>
        <v>0</v>
      </c>
      <c r="AL55" s="23">
        <f>IF(AN55=21,K55,0)</f>
        <v>0</v>
      </c>
      <c r="AN55" s="23">
        <v>21</v>
      </c>
      <c r="AO55" s="23">
        <f>H55*0</f>
        <v>0</v>
      </c>
      <c r="AP55" s="23">
        <f>H55*(1-0)</f>
        <v>0</v>
      </c>
      <c r="AQ55" s="24" t="s">
        <v>49</v>
      </c>
      <c r="AV55" s="23">
        <f>AW55+AX55</f>
        <v>0</v>
      </c>
      <c r="AW55" s="23">
        <f>G55*AO55</f>
        <v>0</v>
      </c>
      <c r="AX55" s="23">
        <f>G55*AP55</f>
        <v>0</v>
      </c>
      <c r="AY55" s="24" t="s">
        <v>133</v>
      </c>
      <c r="AZ55" s="24" t="s">
        <v>134</v>
      </c>
      <c r="BA55" s="17" t="s">
        <v>55</v>
      </c>
      <c r="BC55" s="23">
        <f>AW55+AX55</f>
        <v>0</v>
      </c>
      <c r="BD55" s="23">
        <f>H55/(100-BE55)*100</f>
        <v>0</v>
      </c>
      <c r="BE55" s="23">
        <v>0</v>
      </c>
      <c r="BF55" s="23">
        <f>55</f>
        <v>55</v>
      </c>
      <c r="BH55" s="23">
        <f>G55*AO55</f>
        <v>0</v>
      </c>
      <c r="BI55" s="23">
        <f>G55*AP55</f>
        <v>0</v>
      </c>
      <c r="BJ55" s="23">
        <f>G55*H55</f>
        <v>0</v>
      </c>
    </row>
    <row r="56" spans="1:62" x14ac:dyDescent="0.25">
      <c r="A56" s="31"/>
      <c r="B56" s="31"/>
      <c r="C56" s="31"/>
      <c r="D56" s="31"/>
      <c r="E56" s="31"/>
      <c r="F56" s="31"/>
      <c r="G56" s="31"/>
      <c r="H56" s="31"/>
      <c r="I56" s="55" t="s">
        <v>147</v>
      </c>
      <c r="J56" s="55"/>
      <c r="K56" s="32">
        <f>K12+K15+K22+K25+K31+K38+K41+K50</f>
        <v>0</v>
      </c>
      <c r="L56" s="31"/>
    </row>
    <row r="57" spans="1:62" ht="11.25" customHeight="1" x14ac:dyDescent="0.25">
      <c r="A57" s="33" t="s">
        <v>148</v>
      </c>
    </row>
    <row r="58" spans="1:62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</row>
  </sheetData>
  <mergeCells count="74">
    <mergeCell ref="I4:L5"/>
    <mergeCell ref="A1:L1"/>
    <mergeCell ref="A2:B3"/>
    <mergeCell ref="C2:D3"/>
    <mergeCell ref="E2:F3"/>
    <mergeCell ref="G2:G3"/>
    <mergeCell ref="H2:H3"/>
    <mergeCell ref="I2:L3"/>
    <mergeCell ref="A4:B5"/>
    <mergeCell ref="C4:D5"/>
    <mergeCell ref="E4:F5"/>
    <mergeCell ref="G4:G5"/>
    <mergeCell ref="H4:H5"/>
    <mergeCell ref="H8:H9"/>
    <mergeCell ref="I8:L9"/>
    <mergeCell ref="A6:B7"/>
    <mergeCell ref="C6:D7"/>
    <mergeCell ref="E6:F7"/>
    <mergeCell ref="G6:G7"/>
    <mergeCell ref="H6:H7"/>
    <mergeCell ref="I6:L7"/>
    <mergeCell ref="C14:E14"/>
    <mergeCell ref="A8:B9"/>
    <mergeCell ref="C8:D9"/>
    <mergeCell ref="E8:F9"/>
    <mergeCell ref="G8:G9"/>
    <mergeCell ref="C10:E10"/>
    <mergeCell ref="I10:K10"/>
    <mergeCell ref="C11:E11"/>
    <mergeCell ref="C12:E12"/>
    <mergeCell ref="C13:E13"/>
    <mergeCell ref="C26:E26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38:E38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50:E50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A58:L58"/>
    <mergeCell ref="C51:E51"/>
    <mergeCell ref="C52:E52"/>
    <mergeCell ref="C53:E53"/>
    <mergeCell ref="C54:E54"/>
    <mergeCell ref="C55:E55"/>
    <mergeCell ref="I56:J56"/>
  </mergeCells>
  <pageMargins left="0.39400000000000007" right="0.39400000000000007" top="0.59099999999999997" bottom="0.59099999999999997" header="0.5" footer="0.5"/>
  <pageSetup paperSize="0" fitToWidth="0" fitToHeight="0" orientation="landscape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topLeftCell="A10" workbookViewId="0"/>
  </sheetViews>
  <sheetFormatPr defaultColWidth="9" defaultRowHeight="13.2" x14ac:dyDescent="0.25"/>
  <cols>
    <col min="1" max="1" width="7.109375" style="1" customWidth="1"/>
    <col min="2" max="2" width="10" style="1" customWidth="1"/>
    <col min="3" max="3" width="17.77734375" style="1" customWidth="1"/>
    <col min="4" max="4" width="7.77734375" style="1" customWidth="1"/>
    <col min="5" max="5" width="10.88671875" style="1" customWidth="1"/>
    <col min="6" max="6" width="17.77734375" style="1" customWidth="1"/>
    <col min="7" max="7" width="7.109375" style="1" customWidth="1"/>
    <col min="8" max="8" width="10" style="1" customWidth="1"/>
    <col min="9" max="9" width="17.77734375" style="1" customWidth="1"/>
    <col min="10" max="10" width="9" style="1" customWidth="1"/>
    <col min="11" max="16384" width="9" style="1"/>
  </cols>
  <sheetData>
    <row r="1" spans="1:10" ht="72.900000000000006" customHeight="1" x14ac:dyDescent="0.25">
      <c r="A1" s="34"/>
      <c r="B1" s="35"/>
      <c r="C1" s="91" t="s">
        <v>149</v>
      </c>
      <c r="D1" s="91"/>
      <c r="E1" s="91"/>
      <c r="F1" s="91"/>
      <c r="G1" s="91"/>
      <c r="H1" s="91"/>
      <c r="I1" s="91"/>
    </row>
    <row r="2" spans="1:10" x14ac:dyDescent="0.25">
      <c r="A2" s="72" t="s">
        <v>1</v>
      </c>
      <c r="B2" s="72"/>
      <c r="C2" s="73" t="str">
        <f>Stavební_rozpočet!C2</f>
        <v>Oprava komunikace ulice Husova a Ruských zajatců</v>
      </c>
      <c r="D2" s="73"/>
      <c r="E2" s="75" t="s">
        <v>5</v>
      </c>
      <c r="F2" s="75" t="str">
        <f>Stavební_rozpočet!I2</f>
        <v>Obec Louka u Litvínova</v>
      </c>
      <c r="G2" s="75"/>
      <c r="H2" s="75" t="s">
        <v>150</v>
      </c>
      <c r="I2" s="92"/>
      <c r="J2" s="2"/>
    </row>
    <row r="3" spans="1:10" x14ac:dyDescent="0.25">
      <c r="A3" s="72"/>
      <c r="B3" s="72"/>
      <c r="C3" s="73"/>
      <c r="D3" s="73"/>
      <c r="E3" s="75"/>
      <c r="F3" s="75"/>
      <c r="G3" s="75"/>
      <c r="H3" s="75"/>
      <c r="I3" s="92"/>
      <c r="J3" s="2"/>
    </row>
    <row r="4" spans="1:10" x14ac:dyDescent="0.25">
      <c r="A4" s="67" t="s">
        <v>7</v>
      </c>
      <c r="B4" s="67"/>
      <c r="C4" s="52"/>
      <c r="D4" s="52"/>
      <c r="E4" s="68" t="s">
        <v>10</v>
      </c>
      <c r="F4" s="68" t="str">
        <f>Stavební_rozpočet!I4</f>
        <v>CHEMINVEST  s.r.o.</v>
      </c>
      <c r="G4" s="68"/>
      <c r="H4" s="68" t="s">
        <v>150</v>
      </c>
      <c r="I4" s="69"/>
      <c r="J4" s="2"/>
    </row>
    <row r="5" spans="1:10" x14ac:dyDescent="0.25">
      <c r="A5" s="67"/>
      <c r="B5" s="67"/>
      <c r="C5" s="52"/>
      <c r="D5" s="52"/>
      <c r="E5" s="68"/>
      <c r="F5" s="68"/>
      <c r="G5" s="68"/>
      <c r="H5" s="68"/>
      <c r="I5" s="69"/>
      <c r="J5" s="2"/>
    </row>
    <row r="6" spans="1:10" x14ac:dyDescent="0.25">
      <c r="A6" s="67" t="s">
        <v>12</v>
      </c>
      <c r="B6" s="67"/>
      <c r="C6" s="68" t="str">
        <f>Stavební_rozpočet!C6</f>
        <v>Louka u Litvínova</v>
      </c>
      <c r="D6" s="68"/>
      <c r="E6" s="68" t="s">
        <v>15</v>
      </c>
      <c r="F6" s="52"/>
      <c r="G6" s="52"/>
      <c r="H6" s="68" t="s">
        <v>150</v>
      </c>
      <c r="I6" s="69"/>
      <c r="J6" s="2"/>
    </row>
    <row r="7" spans="1:10" x14ac:dyDescent="0.25">
      <c r="A7" s="67"/>
      <c r="B7" s="67"/>
      <c r="C7" s="68"/>
      <c r="D7" s="68"/>
      <c r="E7" s="68"/>
      <c r="F7" s="52"/>
      <c r="G7" s="52"/>
      <c r="H7" s="68"/>
      <c r="I7" s="69"/>
      <c r="J7" s="2"/>
    </row>
    <row r="8" spans="1:10" x14ac:dyDescent="0.25">
      <c r="A8" s="67" t="s">
        <v>8</v>
      </c>
      <c r="B8" s="67"/>
      <c r="C8" s="68" t="str">
        <f>Stavební_rozpočet!G4</f>
        <v> </v>
      </c>
      <c r="D8" s="68"/>
      <c r="E8" s="68" t="s">
        <v>14</v>
      </c>
      <c r="F8" s="68" t="str">
        <f>Stavební_rozpočet!G6</f>
        <v> </v>
      </c>
      <c r="G8" s="68"/>
      <c r="H8" s="53" t="s">
        <v>151</v>
      </c>
      <c r="I8" s="90" t="s">
        <v>144</v>
      </c>
      <c r="J8" s="2"/>
    </row>
    <row r="9" spans="1:10" x14ac:dyDescent="0.25">
      <c r="A9" s="67"/>
      <c r="B9" s="67"/>
      <c r="C9" s="68"/>
      <c r="D9" s="68"/>
      <c r="E9" s="68"/>
      <c r="F9" s="68"/>
      <c r="G9" s="68"/>
      <c r="H9" s="53"/>
      <c r="I9" s="90"/>
      <c r="J9" s="2"/>
    </row>
    <row r="10" spans="1:10" x14ac:dyDescent="0.25">
      <c r="A10" s="86" t="s">
        <v>16</v>
      </c>
      <c r="B10" s="86"/>
      <c r="C10" s="87"/>
      <c r="D10" s="87"/>
      <c r="E10" s="88" t="s">
        <v>19</v>
      </c>
      <c r="F10" s="88" t="str">
        <f>Stavební_rozpočet!I8</f>
        <v>Kamila Možná</v>
      </c>
      <c r="G10" s="88"/>
      <c r="H10" s="54" t="s">
        <v>152</v>
      </c>
      <c r="I10" s="89" t="str">
        <f>Stavební_rozpočet!G8</f>
        <v>25.02.2019</v>
      </c>
      <c r="J10" s="2"/>
    </row>
    <row r="11" spans="1:10" x14ac:dyDescent="0.25">
      <c r="A11" s="86"/>
      <c r="B11" s="86"/>
      <c r="C11" s="87"/>
      <c r="D11" s="87"/>
      <c r="E11" s="88"/>
      <c r="F11" s="88"/>
      <c r="G11" s="88"/>
      <c r="H11" s="54"/>
      <c r="I11" s="89"/>
      <c r="J11" s="2"/>
    </row>
    <row r="12" spans="1:10" ht="23.4" customHeight="1" x14ac:dyDescent="0.25">
      <c r="A12" s="84" t="s">
        <v>153</v>
      </c>
      <c r="B12" s="84"/>
      <c r="C12" s="84"/>
      <c r="D12" s="84"/>
      <c r="E12" s="84"/>
      <c r="F12" s="84"/>
      <c r="G12" s="84"/>
      <c r="H12" s="84"/>
      <c r="I12" s="84"/>
    </row>
    <row r="13" spans="1:10" ht="26.4" customHeight="1" x14ac:dyDescent="0.25">
      <c r="A13" s="36" t="s">
        <v>154</v>
      </c>
      <c r="B13" s="85" t="s">
        <v>155</v>
      </c>
      <c r="C13" s="85"/>
      <c r="D13" s="36" t="s">
        <v>156</v>
      </c>
      <c r="E13" s="85" t="s">
        <v>157</v>
      </c>
      <c r="F13" s="85"/>
      <c r="G13" s="36" t="s">
        <v>158</v>
      </c>
      <c r="H13" s="85" t="s">
        <v>159</v>
      </c>
      <c r="I13" s="85"/>
      <c r="J13" s="2"/>
    </row>
    <row r="14" spans="1:10" ht="15.15" customHeight="1" x14ac:dyDescent="0.25">
      <c r="A14" s="37" t="s">
        <v>160</v>
      </c>
      <c r="B14" s="38" t="s">
        <v>161</v>
      </c>
      <c r="C14" s="39">
        <f>SUM(Stavební_rozpočet!AB12:AB55)</f>
        <v>0</v>
      </c>
      <c r="D14" s="83" t="s">
        <v>162</v>
      </c>
      <c r="E14" s="83"/>
      <c r="F14" s="39">
        <v>0</v>
      </c>
      <c r="G14" s="83" t="s">
        <v>131</v>
      </c>
      <c r="H14" s="83"/>
      <c r="I14" s="39">
        <v>0</v>
      </c>
      <c r="J14" s="2"/>
    </row>
    <row r="15" spans="1:10" ht="15.15" customHeight="1" x14ac:dyDescent="0.25">
      <c r="A15" s="40"/>
      <c r="B15" s="38" t="s">
        <v>32</v>
      </c>
      <c r="C15" s="39">
        <f>SUM(Stavební_rozpočet!AC12:AC55)</f>
        <v>0</v>
      </c>
      <c r="D15" s="83" t="s">
        <v>163</v>
      </c>
      <c r="E15" s="83"/>
      <c r="F15" s="39">
        <v>0</v>
      </c>
      <c r="G15" s="83" t="s">
        <v>164</v>
      </c>
      <c r="H15" s="83"/>
      <c r="I15" s="39">
        <v>0</v>
      </c>
      <c r="J15" s="2"/>
    </row>
    <row r="16" spans="1:10" ht="15.15" customHeight="1" x14ac:dyDescent="0.25">
      <c r="A16" s="37" t="s">
        <v>165</v>
      </c>
      <c r="B16" s="38" t="s">
        <v>161</v>
      </c>
      <c r="C16" s="39">
        <f>SUM(Stavební_rozpočet!AD12:AD55)</f>
        <v>0</v>
      </c>
      <c r="D16" s="83" t="s">
        <v>166</v>
      </c>
      <c r="E16" s="83"/>
      <c r="F16" s="39">
        <v>0</v>
      </c>
      <c r="G16" s="83" t="s">
        <v>137</v>
      </c>
      <c r="H16" s="83"/>
      <c r="I16" s="39">
        <v>0</v>
      </c>
      <c r="J16" s="2"/>
    </row>
    <row r="17" spans="1:10" ht="15.15" customHeight="1" x14ac:dyDescent="0.25">
      <c r="A17" s="40"/>
      <c r="B17" s="38" t="s">
        <v>32</v>
      </c>
      <c r="C17" s="39">
        <f>SUM(Stavební_rozpočet!AE12:AE55)</f>
        <v>0</v>
      </c>
      <c r="D17" s="82"/>
      <c r="E17" s="82"/>
      <c r="F17" s="41"/>
      <c r="G17" s="83" t="s">
        <v>140</v>
      </c>
      <c r="H17" s="83"/>
      <c r="I17" s="39">
        <v>0</v>
      </c>
      <c r="J17" s="2"/>
    </row>
    <row r="18" spans="1:10" ht="15.15" customHeight="1" x14ac:dyDescent="0.25">
      <c r="A18" s="37" t="s">
        <v>167</v>
      </c>
      <c r="B18" s="38" t="s">
        <v>161</v>
      </c>
      <c r="C18" s="39">
        <f>SUM(Stavební_rozpočet!AF12:AF55)</f>
        <v>0</v>
      </c>
      <c r="D18" s="82"/>
      <c r="E18" s="82"/>
      <c r="F18" s="41"/>
      <c r="G18" s="83" t="s">
        <v>168</v>
      </c>
      <c r="H18" s="83"/>
      <c r="I18" s="39">
        <v>0</v>
      </c>
      <c r="J18" s="2"/>
    </row>
    <row r="19" spans="1:10" ht="15.15" customHeight="1" x14ac:dyDescent="0.25">
      <c r="A19" s="40"/>
      <c r="B19" s="38" t="s">
        <v>32</v>
      </c>
      <c r="C19" s="39">
        <f>SUM(Stavební_rozpočet!AG12:AG55)</f>
        <v>0</v>
      </c>
      <c r="D19" s="82"/>
      <c r="E19" s="82"/>
      <c r="F19" s="41"/>
      <c r="G19" s="83" t="s">
        <v>169</v>
      </c>
      <c r="H19" s="83"/>
      <c r="I19" s="39">
        <v>0</v>
      </c>
      <c r="J19" s="2"/>
    </row>
    <row r="20" spans="1:10" ht="15.15" customHeight="1" x14ac:dyDescent="0.25">
      <c r="A20" s="81" t="s">
        <v>170</v>
      </c>
      <c r="B20" s="81"/>
      <c r="C20" s="39">
        <f>SUM(Stavební_rozpočet!AH12:AH55)</f>
        <v>0</v>
      </c>
      <c r="D20" s="82"/>
      <c r="E20" s="82"/>
      <c r="F20" s="41"/>
      <c r="G20" s="82"/>
      <c r="H20" s="82"/>
      <c r="I20" s="41"/>
      <c r="J20" s="2"/>
    </row>
    <row r="21" spans="1:10" ht="15.15" customHeight="1" x14ac:dyDescent="0.25">
      <c r="A21" s="81" t="s">
        <v>171</v>
      </c>
      <c r="B21" s="81"/>
      <c r="C21" s="39">
        <f>SUM(Stavební_rozpočet!Z12:Z55)</f>
        <v>0</v>
      </c>
      <c r="D21" s="82"/>
      <c r="E21" s="82"/>
      <c r="F21" s="41"/>
      <c r="G21" s="82"/>
      <c r="H21" s="82"/>
      <c r="I21" s="41"/>
      <c r="J21" s="2"/>
    </row>
    <row r="22" spans="1:10" ht="16.649999999999999" customHeight="1" x14ac:dyDescent="0.25">
      <c r="A22" s="81" t="s">
        <v>172</v>
      </c>
      <c r="B22" s="81"/>
      <c r="C22" s="39">
        <f>SUM(C14:C21)</f>
        <v>0</v>
      </c>
      <c r="D22" s="81" t="s">
        <v>173</v>
      </c>
      <c r="E22" s="81"/>
      <c r="F22" s="39">
        <f>SUM(F14:F21)</f>
        <v>0</v>
      </c>
      <c r="G22" s="81" t="s">
        <v>174</v>
      </c>
      <c r="H22" s="81"/>
      <c r="I22" s="39">
        <f>SUM(I14:I21)</f>
        <v>0</v>
      </c>
      <c r="J22" s="2"/>
    </row>
    <row r="23" spans="1:10" ht="15.15" customHeight="1" thickBot="1" x14ac:dyDescent="0.3">
      <c r="A23" s="31"/>
      <c r="B23" s="31"/>
      <c r="C23" s="42"/>
      <c r="D23" s="81" t="s">
        <v>175</v>
      </c>
      <c r="E23" s="81"/>
      <c r="F23" s="43">
        <v>0</v>
      </c>
      <c r="G23" s="81" t="s">
        <v>176</v>
      </c>
      <c r="H23" s="81"/>
      <c r="I23" s="39">
        <v>0</v>
      </c>
      <c r="J23" s="2"/>
    </row>
    <row r="24" spans="1:10" ht="15.15" customHeight="1" x14ac:dyDescent="0.25">
      <c r="D24" s="31"/>
      <c r="E24" s="31"/>
      <c r="F24" s="44"/>
      <c r="G24" s="81" t="s">
        <v>177</v>
      </c>
      <c r="H24" s="81"/>
      <c r="I24" s="45"/>
    </row>
    <row r="25" spans="1:10" ht="15.15" customHeight="1" x14ac:dyDescent="0.25">
      <c r="F25" s="46"/>
      <c r="G25" s="81" t="s">
        <v>178</v>
      </c>
      <c r="H25" s="81"/>
      <c r="I25" s="39">
        <v>0</v>
      </c>
      <c r="J25" s="2"/>
    </row>
    <row r="26" spans="1:10" x14ac:dyDescent="0.25">
      <c r="A26" s="35"/>
      <c r="B26" s="35"/>
      <c r="C26" s="35"/>
      <c r="G26" s="31"/>
      <c r="H26" s="31"/>
      <c r="I26" s="31"/>
    </row>
    <row r="27" spans="1:10" ht="15.15" customHeight="1" x14ac:dyDescent="0.25">
      <c r="A27" s="79" t="s">
        <v>179</v>
      </c>
      <c r="B27" s="79"/>
      <c r="C27" s="47">
        <f>SUM(Stavební_rozpočet!AJ12:AJ55)</f>
        <v>0</v>
      </c>
      <c r="D27" s="48"/>
      <c r="E27" s="35"/>
      <c r="F27" s="35"/>
      <c r="G27" s="35"/>
      <c r="H27" s="35"/>
      <c r="I27" s="35"/>
    </row>
    <row r="28" spans="1:10" ht="15.15" customHeight="1" x14ac:dyDescent="0.25">
      <c r="A28" s="79" t="s">
        <v>180</v>
      </c>
      <c r="B28" s="79"/>
      <c r="C28" s="47">
        <f>SUM(Stavební_rozpočet!AK12:AK55)</f>
        <v>0</v>
      </c>
      <c r="D28" s="79" t="s">
        <v>181</v>
      </c>
      <c r="E28" s="79"/>
      <c r="F28" s="47">
        <f>ROUND(C28*(15/100),2)</f>
        <v>0</v>
      </c>
      <c r="G28" s="79" t="s">
        <v>182</v>
      </c>
      <c r="H28" s="79"/>
      <c r="I28" s="47">
        <f>SUM(C27:C29)</f>
        <v>0</v>
      </c>
      <c r="J28" s="2"/>
    </row>
    <row r="29" spans="1:10" ht="15.15" customHeight="1" x14ac:dyDescent="0.25">
      <c r="A29" s="79" t="s">
        <v>183</v>
      </c>
      <c r="B29" s="79"/>
      <c r="C29" s="47">
        <f>SUM(Stavební_rozpočet!AL12:AL55)+(F22+I22+F23+I23+I24+I25)</f>
        <v>0</v>
      </c>
      <c r="D29" s="79" t="s">
        <v>184</v>
      </c>
      <c r="E29" s="79"/>
      <c r="F29" s="47">
        <f>ROUND(C29*(21/100),2)</f>
        <v>0</v>
      </c>
      <c r="G29" s="79" t="s">
        <v>185</v>
      </c>
      <c r="H29" s="79"/>
      <c r="I29" s="47">
        <f>SUM(F28:F29)+I28</f>
        <v>0</v>
      </c>
      <c r="J29" s="2"/>
    </row>
    <row r="30" spans="1:10" ht="13.8" thickBot="1" x14ac:dyDescent="0.3">
      <c r="A30" s="49"/>
      <c r="B30" s="49"/>
      <c r="C30" s="49"/>
      <c r="D30" s="49"/>
      <c r="E30" s="49"/>
      <c r="F30" s="49"/>
      <c r="G30" s="49"/>
      <c r="H30" s="49"/>
      <c r="I30" s="49"/>
    </row>
    <row r="31" spans="1:10" ht="14.4" customHeight="1" x14ac:dyDescent="0.25">
      <c r="A31" s="80" t="s">
        <v>186</v>
      </c>
      <c r="B31" s="80"/>
      <c r="C31" s="80"/>
      <c r="D31" s="80" t="s">
        <v>187</v>
      </c>
      <c r="E31" s="80"/>
      <c r="F31" s="80"/>
      <c r="G31" s="80" t="s">
        <v>188</v>
      </c>
      <c r="H31" s="80"/>
      <c r="I31" s="80"/>
      <c r="J31" s="9"/>
    </row>
    <row r="32" spans="1:10" ht="14.4" customHeight="1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9"/>
    </row>
    <row r="33" spans="1:10" ht="14.4" customHeight="1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9"/>
    </row>
    <row r="34" spans="1:10" ht="14.4" customHeight="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9"/>
    </row>
    <row r="35" spans="1:10" ht="14.4" customHeight="1" thickBot="1" x14ac:dyDescent="0.3">
      <c r="A35" s="78" t="s">
        <v>189</v>
      </c>
      <c r="B35" s="78"/>
      <c r="C35" s="78"/>
      <c r="D35" s="78" t="s">
        <v>189</v>
      </c>
      <c r="E35" s="78"/>
      <c r="F35" s="78"/>
      <c r="G35" s="78" t="s">
        <v>189</v>
      </c>
      <c r="H35" s="78"/>
      <c r="I35" s="78"/>
      <c r="J35" s="9"/>
    </row>
    <row r="36" spans="1:10" ht="11.25" customHeight="1" x14ac:dyDescent="0.25">
      <c r="A36" s="50" t="s">
        <v>148</v>
      </c>
      <c r="B36" s="51"/>
      <c r="C36" s="51"/>
      <c r="D36" s="51"/>
      <c r="E36" s="51"/>
      <c r="F36" s="51"/>
      <c r="G36" s="51"/>
      <c r="H36" s="51"/>
      <c r="I36" s="51"/>
    </row>
    <row r="37" spans="1:10" x14ac:dyDescent="0.25">
      <c r="A37" s="52"/>
      <c r="B37" s="52"/>
      <c r="C37" s="52"/>
      <c r="D37" s="52"/>
      <c r="E37" s="52"/>
      <c r="F37" s="52"/>
      <c r="G37" s="52"/>
      <c r="H37" s="52"/>
      <c r="I37" s="52"/>
    </row>
  </sheetData>
  <mergeCells count="83">
    <mergeCell ref="C1:I1"/>
    <mergeCell ref="A2:B3"/>
    <mergeCell ref="C2:D3"/>
    <mergeCell ref="E2:E3"/>
    <mergeCell ref="F2:G3"/>
    <mergeCell ref="H2:H3"/>
    <mergeCell ref="I2:I3"/>
    <mergeCell ref="I6:I7"/>
    <mergeCell ref="A4:B5"/>
    <mergeCell ref="C4:D5"/>
    <mergeCell ref="E4:E5"/>
    <mergeCell ref="F4:G5"/>
    <mergeCell ref="H4:H5"/>
    <mergeCell ref="I4:I5"/>
    <mergeCell ref="A6:B7"/>
    <mergeCell ref="C6:D7"/>
    <mergeCell ref="E6:E7"/>
    <mergeCell ref="F6:G7"/>
    <mergeCell ref="H6:H7"/>
    <mergeCell ref="I10:I11"/>
    <mergeCell ref="A8:B9"/>
    <mergeCell ref="C8:D9"/>
    <mergeCell ref="E8:E9"/>
    <mergeCell ref="F8:G9"/>
    <mergeCell ref="H8:H9"/>
    <mergeCell ref="I8:I9"/>
    <mergeCell ref="A10:B11"/>
    <mergeCell ref="C10:D11"/>
    <mergeCell ref="E10:E11"/>
    <mergeCell ref="F10:G11"/>
    <mergeCell ref="H10:H11"/>
    <mergeCell ref="A12:I12"/>
    <mergeCell ref="B13:C13"/>
    <mergeCell ref="E13:F13"/>
    <mergeCell ref="H13:I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A20:B20"/>
    <mergeCell ref="D20:E20"/>
    <mergeCell ref="G20:H20"/>
    <mergeCell ref="A28:B28"/>
    <mergeCell ref="D28:E28"/>
    <mergeCell ref="G28:H28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A29:B29"/>
    <mergeCell ref="D29:E29"/>
    <mergeCell ref="G29:H29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7:I37"/>
    <mergeCell ref="A34:C34"/>
    <mergeCell ref="D34:F34"/>
    <mergeCell ref="G34:I34"/>
    <mergeCell ref="A35:C35"/>
    <mergeCell ref="D35:F35"/>
    <mergeCell ref="G35:I35"/>
  </mergeCells>
  <pageMargins left="0.39400000000000007" right="0.39400000000000007" top="0.59099999999999997" bottom="0.59099999999999997" header="0.5" footer="0.5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Stavební_rozpočet</vt:lpstr>
      <vt:lpstr>Krycí_list_rozpočtu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HP Pavilion</cp:lastModifiedBy>
  <dcterms:created xsi:type="dcterms:W3CDTF">2019-02-25T13:47:17Z</dcterms:created>
  <dcterms:modified xsi:type="dcterms:W3CDTF">2020-08-20T10:27:38Z</dcterms:modified>
</cp:coreProperties>
</file>