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005" windowHeight="12000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calcId="125725" iterateCount="1"/>
</workbook>
</file>

<file path=xl/calcChain.xml><?xml version="1.0" encoding="utf-8"?>
<calcChain xmlns="http://schemas.openxmlformats.org/spreadsheetml/2006/main">
  <c r="AS1" i="1"/>
  <c r="AT1"/>
  <c r="AU1"/>
  <c r="AU12"/>
  <c r="H13"/>
  <c r="I13"/>
  <c r="J13"/>
  <c r="AL13" s="1"/>
  <c r="AB13"/>
  <c r="AE13"/>
  <c r="AF13"/>
  <c r="AO13"/>
  <c r="AP13"/>
  <c r="AX13" s="1"/>
  <c r="AV13"/>
  <c r="AW13"/>
  <c r="BC13" s="1"/>
  <c r="BD13"/>
  <c r="BF13"/>
  <c r="BH13"/>
  <c r="AD13" s="1"/>
  <c r="BI13"/>
  <c r="AC13" s="1"/>
  <c r="BJ13"/>
  <c r="J22"/>
  <c r="AF22"/>
  <c r="AJ22"/>
  <c r="AK22"/>
  <c r="AL22"/>
  <c r="AO22"/>
  <c r="AW22" s="1"/>
  <c r="AP22"/>
  <c r="BD22"/>
  <c r="BF22"/>
  <c r="BH22"/>
  <c r="AB22" s="1"/>
  <c r="BI22"/>
  <c r="BJ22"/>
  <c r="AU24"/>
  <c r="H25"/>
  <c r="H24" s="1"/>
  <c r="J25"/>
  <c r="J24" s="1"/>
  <c r="AB25"/>
  <c r="AF25"/>
  <c r="AL25"/>
  <c r="AO25"/>
  <c r="AP25"/>
  <c r="AX25" s="1"/>
  <c r="AW25"/>
  <c r="BC25" s="1"/>
  <c r="BD25"/>
  <c r="BF25"/>
  <c r="BH25"/>
  <c r="AD25" s="1"/>
  <c r="BJ25"/>
  <c r="H28"/>
  <c r="I28"/>
  <c r="J28"/>
  <c r="AC28"/>
  <c r="AF28"/>
  <c r="AG28"/>
  <c r="AH28"/>
  <c r="AO28"/>
  <c r="AP28"/>
  <c r="AV28"/>
  <c r="AW28"/>
  <c r="BC28" s="1"/>
  <c r="AX28"/>
  <c r="BD28"/>
  <c r="BF28"/>
  <c r="BH28"/>
  <c r="AD28" s="1"/>
  <c r="BI28"/>
  <c r="AE28" s="1"/>
  <c r="BJ28"/>
  <c r="Z28" s="1"/>
  <c r="H31"/>
  <c r="I31"/>
  <c r="J31"/>
  <c r="AK31" s="1"/>
  <c r="AB31"/>
  <c r="AF31"/>
  <c r="AL31"/>
  <c r="AO31"/>
  <c r="AP31"/>
  <c r="AX31" s="1"/>
  <c r="AV31" s="1"/>
  <c r="AW31"/>
  <c r="BD31"/>
  <c r="BF31"/>
  <c r="BH31"/>
  <c r="AD31" s="1"/>
  <c r="BJ31"/>
  <c r="J33"/>
  <c r="AJ33"/>
  <c r="AK33"/>
  <c r="AL33"/>
  <c r="AO33"/>
  <c r="AW33" s="1"/>
  <c r="AP33"/>
  <c r="BD33"/>
  <c r="BF33"/>
  <c r="BJ33"/>
  <c r="J35"/>
  <c r="AK35" s="1"/>
  <c r="Z35"/>
  <c r="AJ35"/>
  <c r="AL35"/>
  <c r="AO35"/>
  <c r="BH35" s="1"/>
  <c r="AP35"/>
  <c r="BD35"/>
  <c r="BF35"/>
  <c r="BJ35"/>
  <c r="AH35" s="1"/>
  <c r="J38"/>
  <c r="AJ38"/>
  <c r="AK38"/>
  <c r="AL38"/>
  <c r="AO38"/>
  <c r="AW38" s="1"/>
  <c r="AP38"/>
  <c r="BD38"/>
  <c r="BF38"/>
  <c r="BJ38"/>
  <c r="J41"/>
  <c r="AK41" s="1"/>
  <c r="Z41"/>
  <c r="AJ41"/>
  <c r="AL41"/>
  <c r="AO41"/>
  <c r="AP41"/>
  <c r="BD41"/>
  <c r="BF41"/>
  <c r="BJ41"/>
  <c r="AH41" s="1"/>
  <c r="J44"/>
  <c r="Z44"/>
  <c r="AC44"/>
  <c r="AH44"/>
  <c r="AJ44"/>
  <c r="AK44"/>
  <c r="AL44"/>
  <c r="AO44"/>
  <c r="BH44" s="1"/>
  <c r="AP44"/>
  <c r="I44" s="1"/>
  <c r="AX44"/>
  <c r="BD44"/>
  <c r="BF44"/>
  <c r="BI44"/>
  <c r="AG44" s="1"/>
  <c r="BJ44"/>
  <c r="I50"/>
  <c r="J50"/>
  <c r="Z50"/>
  <c r="AB50"/>
  <c r="AC50"/>
  <c r="AG50"/>
  <c r="AH50"/>
  <c r="AJ50"/>
  <c r="AK50"/>
  <c r="AL50"/>
  <c r="AO50"/>
  <c r="H50" s="1"/>
  <c r="AP50"/>
  <c r="AW50"/>
  <c r="AV50" s="1"/>
  <c r="AX50"/>
  <c r="BC50"/>
  <c r="BD50"/>
  <c r="BF50"/>
  <c r="BH50"/>
  <c r="AF50" s="1"/>
  <c r="BI50"/>
  <c r="AE50" s="1"/>
  <c r="BJ50"/>
  <c r="H53"/>
  <c r="I53"/>
  <c r="J53"/>
  <c r="AL53" s="1"/>
  <c r="Z53"/>
  <c r="AB53"/>
  <c r="AC53"/>
  <c r="AF53"/>
  <c r="AG53"/>
  <c r="AH53"/>
  <c r="AK53"/>
  <c r="AO53"/>
  <c r="AP53"/>
  <c r="AW53"/>
  <c r="AV53" s="1"/>
  <c r="AX53"/>
  <c r="BD53"/>
  <c r="BF53"/>
  <c r="BH53"/>
  <c r="AD53" s="1"/>
  <c r="BI53"/>
  <c r="AE53" s="1"/>
  <c r="BJ53"/>
  <c r="H56"/>
  <c r="I56"/>
  <c r="J56"/>
  <c r="AB56"/>
  <c r="AF56"/>
  <c r="AG56"/>
  <c r="AH56"/>
  <c r="AJ56"/>
  <c r="AO56"/>
  <c r="AP56"/>
  <c r="AV56"/>
  <c r="AW56"/>
  <c r="AX56"/>
  <c r="BC56"/>
  <c r="BD56"/>
  <c r="BF56"/>
  <c r="BH56"/>
  <c r="AD56" s="1"/>
  <c r="BI56"/>
  <c r="AE56" s="1"/>
  <c r="BJ56"/>
  <c r="Z56" s="1"/>
  <c r="H62"/>
  <c r="I62"/>
  <c r="J62"/>
  <c r="AE62"/>
  <c r="AF62"/>
  <c r="AO62"/>
  <c r="AP62"/>
  <c r="AW62"/>
  <c r="BC62" s="1"/>
  <c r="AX62"/>
  <c r="BD62"/>
  <c r="BF62"/>
  <c r="BH62"/>
  <c r="AD62" s="1"/>
  <c r="BI62"/>
  <c r="AC62" s="1"/>
  <c r="BJ62"/>
  <c r="Z62" s="1"/>
  <c r="J68"/>
  <c r="AK68" s="1"/>
  <c r="AD68"/>
  <c r="AL68"/>
  <c r="AO68"/>
  <c r="H68" s="1"/>
  <c r="AP68"/>
  <c r="AX68" s="1"/>
  <c r="AV68" s="1"/>
  <c r="AW68"/>
  <c r="BD68"/>
  <c r="BF68"/>
  <c r="BH68"/>
  <c r="AB68" s="1"/>
  <c r="BJ68"/>
  <c r="H72"/>
  <c r="J72"/>
  <c r="AJ72"/>
  <c r="AK72"/>
  <c r="AL72"/>
  <c r="AO72"/>
  <c r="AW72" s="1"/>
  <c r="AP72"/>
  <c r="BD72"/>
  <c r="BF72"/>
  <c r="BJ72"/>
  <c r="J80"/>
  <c r="Z80"/>
  <c r="AJ80"/>
  <c r="AK80"/>
  <c r="AL80"/>
  <c r="AO80"/>
  <c r="AP80"/>
  <c r="BD80"/>
  <c r="BF80"/>
  <c r="BJ80"/>
  <c r="AH80" s="1"/>
  <c r="J87"/>
  <c r="Z87"/>
  <c r="AC87"/>
  <c r="AH87"/>
  <c r="AJ87"/>
  <c r="AK87"/>
  <c r="AL87"/>
  <c r="AO87"/>
  <c r="AP87"/>
  <c r="I87" s="1"/>
  <c r="AX87"/>
  <c r="BD87"/>
  <c r="BF87"/>
  <c r="BH87"/>
  <c r="AF87" s="1"/>
  <c r="BI87"/>
  <c r="AG87" s="1"/>
  <c r="BJ87"/>
  <c r="I94"/>
  <c r="J94"/>
  <c r="Z94"/>
  <c r="AB94"/>
  <c r="AC94"/>
  <c r="AG94"/>
  <c r="AH94"/>
  <c r="AJ94"/>
  <c r="AK94"/>
  <c r="AL94"/>
  <c r="AO94"/>
  <c r="H94" s="1"/>
  <c r="AP94"/>
  <c r="AW94"/>
  <c r="AX94"/>
  <c r="BC94" s="1"/>
  <c r="BD94"/>
  <c r="BF94"/>
  <c r="BH94"/>
  <c r="AF94" s="1"/>
  <c r="BI94"/>
  <c r="AE94" s="1"/>
  <c r="BJ94"/>
  <c r="H101"/>
  <c r="I101"/>
  <c r="J101"/>
  <c r="AL101" s="1"/>
  <c r="Z101"/>
  <c r="AB101"/>
  <c r="AC101"/>
  <c r="AF101"/>
  <c r="AG101"/>
  <c r="AH101"/>
  <c r="AJ101"/>
  <c r="AO101"/>
  <c r="AP101"/>
  <c r="AW101"/>
  <c r="AX101"/>
  <c r="BC101" s="1"/>
  <c r="BD101"/>
  <c r="BF101"/>
  <c r="BH101"/>
  <c r="AD101" s="1"/>
  <c r="BI101"/>
  <c r="AE101" s="1"/>
  <c r="BJ101"/>
  <c r="H108"/>
  <c r="I108"/>
  <c r="J108"/>
  <c r="AJ108" s="1"/>
  <c r="AB108"/>
  <c r="AF108"/>
  <c r="AG108"/>
  <c r="AH108"/>
  <c r="AO108"/>
  <c r="AP108"/>
  <c r="AW108"/>
  <c r="AV108" s="1"/>
  <c r="AX108"/>
  <c r="BD108"/>
  <c r="BF108"/>
  <c r="BH108"/>
  <c r="AD108" s="1"/>
  <c r="BI108"/>
  <c r="AE108" s="1"/>
  <c r="BJ108"/>
  <c r="Z108" s="1"/>
  <c r="H111"/>
  <c r="J111"/>
  <c r="AF111"/>
  <c r="AO111"/>
  <c r="AP111"/>
  <c r="BI111" s="1"/>
  <c r="AW111"/>
  <c r="BD111"/>
  <c r="BF111"/>
  <c r="BH111"/>
  <c r="AD111" s="1"/>
  <c r="BJ111"/>
  <c r="Z111" s="1"/>
  <c r="H115"/>
  <c r="J115"/>
  <c r="AK115" s="1"/>
  <c r="AL115"/>
  <c r="AO115"/>
  <c r="BH115" s="1"/>
  <c r="AP115"/>
  <c r="AX115" s="1"/>
  <c r="BD115"/>
  <c r="BF115"/>
  <c r="BI115"/>
  <c r="AC115" s="1"/>
  <c r="BJ115"/>
  <c r="H118"/>
  <c r="J118"/>
  <c r="AJ118"/>
  <c r="AK118"/>
  <c r="AL118"/>
  <c r="AO118"/>
  <c r="AW118" s="1"/>
  <c r="AP118"/>
  <c r="BD118"/>
  <c r="BF118"/>
  <c r="BH118"/>
  <c r="AB118" s="1"/>
  <c r="BI118"/>
  <c r="AG118" s="1"/>
  <c r="BJ118"/>
  <c r="J120"/>
  <c r="Z120"/>
  <c r="AE120"/>
  <c r="AJ120"/>
  <c r="AK120"/>
  <c r="AL120"/>
  <c r="AO120"/>
  <c r="AP120"/>
  <c r="BD120"/>
  <c r="BF120"/>
  <c r="BH120"/>
  <c r="AF120" s="1"/>
  <c r="BI120"/>
  <c r="AG120" s="1"/>
  <c r="BJ120"/>
  <c r="AH120" s="1"/>
  <c r="J123"/>
  <c r="Z123"/>
  <c r="AC123"/>
  <c r="AH123"/>
  <c r="AJ123"/>
  <c r="AK123"/>
  <c r="AL123"/>
  <c r="AO123"/>
  <c r="AP123"/>
  <c r="I123" s="1"/>
  <c r="AX123"/>
  <c r="BD123"/>
  <c r="BF123"/>
  <c r="BH123"/>
  <c r="AF123" s="1"/>
  <c r="BI123"/>
  <c r="AG123" s="1"/>
  <c r="BJ123"/>
  <c r="I126"/>
  <c r="J126"/>
  <c r="AJ126" s="1"/>
  <c r="Z126"/>
  <c r="AB126"/>
  <c r="AC126"/>
  <c r="AG126"/>
  <c r="AH126"/>
  <c r="AK126"/>
  <c r="AL126"/>
  <c r="AO126"/>
  <c r="H126" s="1"/>
  <c r="AP126"/>
  <c r="AW126"/>
  <c r="AV126" s="1"/>
  <c r="AX126"/>
  <c r="BC126" s="1"/>
  <c r="BD126"/>
  <c r="BF126"/>
  <c r="BH126"/>
  <c r="AF126" s="1"/>
  <c r="BI126"/>
  <c r="AE126" s="1"/>
  <c r="BJ126"/>
  <c r="H128"/>
  <c r="I128"/>
  <c r="J128"/>
  <c r="AL128" s="1"/>
  <c r="Z128"/>
  <c r="AB128"/>
  <c r="AC128"/>
  <c r="AF128"/>
  <c r="AG128"/>
  <c r="AH128"/>
  <c r="AJ128"/>
  <c r="AK128"/>
  <c r="AO128"/>
  <c r="AP128"/>
  <c r="AW128"/>
  <c r="AX128"/>
  <c r="BC128"/>
  <c r="BD128"/>
  <c r="BF128"/>
  <c r="BH128"/>
  <c r="AD128" s="1"/>
  <c r="BI128"/>
  <c r="AE128" s="1"/>
  <c r="BJ128"/>
  <c r="H131"/>
  <c r="I131"/>
  <c r="J131"/>
  <c r="AB131"/>
  <c r="AF131"/>
  <c r="AG131"/>
  <c r="AO131"/>
  <c r="AP131"/>
  <c r="AV131"/>
  <c r="AW131"/>
  <c r="BC131" s="1"/>
  <c r="AX131"/>
  <c r="BD131"/>
  <c r="BF131"/>
  <c r="BH131"/>
  <c r="AD131" s="1"/>
  <c r="BI131"/>
  <c r="AE131" s="1"/>
  <c r="BJ131"/>
  <c r="Z131" s="1"/>
  <c r="H138"/>
  <c r="I138"/>
  <c r="J138"/>
  <c r="AL138" s="1"/>
  <c r="Z138"/>
  <c r="AB138"/>
  <c r="AC138"/>
  <c r="AF138"/>
  <c r="AG138"/>
  <c r="AH138"/>
  <c r="AK138"/>
  <c r="AO138"/>
  <c r="AP138"/>
  <c r="AW138"/>
  <c r="AV138" s="1"/>
  <c r="AX138"/>
  <c r="BD138"/>
  <c r="BF138"/>
  <c r="BH138"/>
  <c r="AD138" s="1"/>
  <c r="BI138"/>
  <c r="AE138" s="1"/>
  <c r="BJ138"/>
  <c r="H152"/>
  <c r="I152"/>
  <c r="J152"/>
  <c r="AB152"/>
  <c r="AF152"/>
  <c r="AG152"/>
  <c r="AH152"/>
  <c r="AJ152"/>
  <c r="AO152"/>
  <c r="AP152"/>
  <c r="AV152"/>
  <c r="AW152"/>
  <c r="AX152"/>
  <c r="BC152"/>
  <c r="BD152"/>
  <c r="BF152"/>
  <c r="BH152"/>
  <c r="AD152" s="1"/>
  <c r="BI152"/>
  <c r="AE152" s="1"/>
  <c r="BJ152"/>
  <c r="Z152" s="1"/>
  <c r="H154"/>
  <c r="I154"/>
  <c r="J154"/>
  <c r="AE154"/>
  <c r="AF154"/>
  <c r="AO154"/>
  <c r="AP154"/>
  <c r="AW154"/>
  <c r="BC154" s="1"/>
  <c r="AX154"/>
  <c r="BD154"/>
  <c r="BF154"/>
  <c r="BH154"/>
  <c r="AD154" s="1"/>
  <c r="BI154"/>
  <c r="AC154" s="1"/>
  <c r="BJ154"/>
  <c r="Z154" s="1"/>
  <c r="J157"/>
  <c r="AK157" s="1"/>
  <c r="AD157"/>
  <c r="AL157"/>
  <c r="AO157"/>
  <c r="H157" s="1"/>
  <c r="AP157"/>
  <c r="AX157" s="1"/>
  <c r="AV157" s="1"/>
  <c r="AW157"/>
  <c r="BD157"/>
  <c r="BF157"/>
  <c r="BH157"/>
  <c r="AB157" s="1"/>
  <c r="BJ157"/>
  <c r="H164"/>
  <c r="J164"/>
  <c r="AF164"/>
  <c r="AH164"/>
  <c r="AO164"/>
  <c r="AP164"/>
  <c r="AX164" s="1"/>
  <c r="AV164" s="1"/>
  <c r="AW164"/>
  <c r="BD164"/>
  <c r="BF164"/>
  <c r="BH164"/>
  <c r="AD164" s="1"/>
  <c r="BI164"/>
  <c r="AC164" s="1"/>
  <c r="BJ164"/>
  <c r="Z164" s="1"/>
  <c r="J166"/>
  <c r="AK166" s="1"/>
  <c r="AF166"/>
  <c r="AG166"/>
  <c r="AL166"/>
  <c r="AO166"/>
  <c r="AW166" s="1"/>
  <c r="AP166"/>
  <c r="AX166" s="1"/>
  <c r="BD166"/>
  <c r="BF166"/>
  <c r="BH166"/>
  <c r="AB166" s="1"/>
  <c r="BI166"/>
  <c r="AC166" s="1"/>
  <c r="BJ166"/>
  <c r="J168"/>
  <c r="AE168"/>
  <c r="AF168"/>
  <c r="AJ168"/>
  <c r="AK168"/>
  <c r="AL168"/>
  <c r="AO168"/>
  <c r="AW168" s="1"/>
  <c r="AP168"/>
  <c r="BD168"/>
  <c r="BF168"/>
  <c r="BH168"/>
  <c r="AB168" s="1"/>
  <c r="BI168"/>
  <c r="AG168" s="1"/>
  <c r="BJ168"/>
  <c r="J170"/>
  <c r="Z170"/>
  <c r="AC170"/>
  <c r="AD170"/>
  <c r="AE170"/>
  <c r="AJ170"/>
  <c r="AK170"/>
  <c r="AL170"/>
  <c r="AO170"/>
  <c r="AP170"/>
  <c r="BD170"/>
  <c r="BF170"/>
  <c r="BH170"/>
  <c r="AF170" s="1"/>
  <c r="BI170"/>
  <c r="AG170" s="1"/>
  <c r="BJ170"/>
  <c r="AH170" s="1"/>
  <c r="J172"/>
  <c r="Z172"/>
  <c r="AC172"/>
  <c r="AH172"/>
  <c r="AJ172"/>
  <c r="AK172"/>
  <c r="AL172"/>
  <c r="AO172"/>
  <c r="BH172" s="1"/>
  <c r="AP172"/>
  <c r="I172" s="1"/>
  <c r="AX172"/>
  <c r="BD172"/>
  <c r="BF172"/>
  <c r="BI172"/>
  <c r="AG172" s="1"/>
  <c r="BJ172"/>
  <c r="I174"/>
  <c r="J174"/>
  <c r="AK174" s="1"/>
  <c r="Z174"/>
  <c r="AB174"/>
  <c r="AC174"/>
  <c r="AG174"/>
  <c r="AH174"/>
  <c r="AL174"/>
  <c r="AO174"/>
  <c r="H174" s="1"/>
  <c r="AP174"/>
  <c r="AW174"/>
  <c r="AV174" s="1"/>
  <c r="AX174"/>
  <c r="BC174"/>
  <c r="BD174"/>
  <c r="BF174"/>
  <c r="BH174"/>
  <c r="AF174" s="1"/>
  <c r="BI174"/>
  <c r="AE174" s="1"/>
  <c r="BJ174"/>
  <c r="H176"/>
  <c r="I176"/>
  <c r="J176"/>
  <c r="AL176" s="1"/>
  <c r="Z176"/>
  <c r="AB176"/>
  <c r="AC176"/>
  <c r="AF176"/>
  <c r="AG176"/>
  <c r="AH176"/>
  <c r="AO176"/>
  <c r="AP176"/>
  <c r="AW176"/>
  <c r="AV176" s="1"/>
  <c r="AX176"/>
  <c r="BD176"/>
  <c r="BF176"/>
  <c r="BH176"/>
  <c r="AD176" s="1"/>
  <c r="BI176"/>
  <c r="AE176" s="1"/>
  <c r="BJ176"/>
  <c r="H178"/>
  <c r="I178"/>
  <c r="J178"/>
  <c r="AB178"/>
  <c r="AF178"/>
  <c r="AG178"/>
  <c r="AJ178"/>
  <c r="AO178"/>
  <c r="AP178"/>
  <c r="AW178"/>
  <c r="AX178"/>
  <c r="BC178" s="1"/>
  <c r="BD178"/>
  <c r="BF178"/>
  <c r="BH178"/>
  <c r="AD178" s="1"/>
  <c r="BI178"/>
  <c r="AE178" s="1"/>
  <c r="BJ178"/>
  <c r="AH178" s="1"/>
  <c r="H180"/>
  <c r="I180"/>
  <c r="J180"/>
  <c r="AF180"/>
  <c r="AG180"/>
  <c r="AH180"/>
  <c r="AO180"/>
  <c r="AP180"/>
  <c r="AV180"/>
  <c r="AW180"/>
  <c r="AX180"/>
  <c r="BD180"/>
  <c r="BF180"/>
  <c r="BH180"/>
  <c r="AD180" s="1"/>
  <c r="BI180"/>
  <c r="AC180" s="1"/>
  <c r="BJ180"/>
  <c r="Z180" s="1"/>
  <c r="J182"/>
  <c r="AK182" s="1"/>
  <c r="AL182"/>
  <c r="AO182"/>
  <c r="H182" s="1"/>
  <c r="AP182"/>
  <c r="AX182" s="1"/>
  <c r="AW182"/>
  <c r="BC182" s="1"/>
  <c r="BD182"/>
  <c r="BF182"/>
  <c r="BJ182"/>
  <c r="H185"/>
  <c r="J185"/>
  <c r="AF185"/>
  <c r="AO185"/>
  <c r="AP185"/>
  <c r="BI185" s="1"/>
  <c r="AW185"/>
  <c r="BD185"/>
  <c r="BF185"/>
  <c r="BH185"/>
  <c r="AD185" s="1"/>
  <c r="BJ185"/>
  <c r="Z185" s="1"/>
  <c r="H187"/>
  <c r="J187"/>
  <c r="AK187" s="1"/>
  <c r="AL187"/>
  <c r="AO187"/>
  <c r="BH187" s="1"/>
  <c r="AP187"/>
  <c r="AX187" s="1"/>
  <c r="BD187"/>
  <c r="BF187"/>
  <c r="BI187"/>
  <c r="AC187" s="1"/>
  <c r="BJ187"/>
  <c r="H189"/>
  <c r="J189"/>
  <c r="AJ189"/>
  <c r="AK189"/>
  <c r="AL189"/>
  <c r="AO189"/>
  <c r="AW189" s="1"/>
  <c r="AP189"/>
  <c r="BD189"/>
  <c r="BF189"/>
  <c r="BH189"/>
  <c r="AB189" s="1"/>
  <c r="BI189"/>
  <c r="AG189" s="1"/>
  <c r="BJ189"/>
  <c r="J191"/>
  <c r="Z191"/>
  <c r="AE191"/>
  <c r="AJ191"/>
  <c r="AK191"/>
  <c r="AL191"/>
  <c r="AO191"/>
  <c r="AP191"/>
  <c r="BD191"/>
  <c r="BF191"/>
  <c r="BH191"/>
  <c r="AF191" s="1"/>
  <c r="BI191"/>
  <c r="AG191" s="1"/>
  <c r="BJ191"/>
  <c r="AH191" s="1"/>
  <c r="J194"/>
  <c r="AJ194"/>
  <c r="AK194"/>
  <c r="AL194"/>
  <c r="AO194"/>
  <c r="AW194" s="1"/>
  <c r="AP194"/>
  <c r="BD194"/>
  <c r="BF194"/>
  <c r="BJ194"/>
  <c r="J216"/>
  <c r="Z216"/>
  <c r="AJ216"/>
  <c r="AK216"/>
  <c r="AL216"/>
  <c r="AO216"/>
  <c r="BH216" s="1"/>
  <c r="AP216"/>
  <c r="BD216"/>
  <c r="BF216"/>
  <c r="BJ216"/>
  <c r="AH216" s="1"/>
  <c r="J239"/>
  <c r="Z239"/>
  <c r="AC239"/>
  <c r="AH239"/>
  <c r="AJ239"/>
  <c r="AK239"/>
  <c r="AL239"/>
  <c r="AO239"/>
  <c r="AP239"/>
  <c r="I239" s="1"/>
  <c r="AX239"/>
  <c r="BD239"/>
  <c r="BF239"/>
  <c r="BI239"/>
  <c r="AG239" s="1"/>
  <c r="BJ239"/>
  <c r="I241"/>
  <c r="J241"/>
  <c r="Z241"/>
  <c r="AB241"/>
  <c r="AC241"/>
  <c r="AG241"/>
  <c r="AH241"/>
  <c r="AJ241"/>
  <c r="AK241"/>
  <c r="AL241"/>
  <c r="AO241"/>
  <c r="H241" s="1"/>
  <c r="AP241"/>
  <c r="AW241"/>
  <c r="AV241" s="1"/>
  <c r="AX241"/>
  <c r="BC241"/>
  <c r="BD241"/>
  <c r="BF241"/>
  <c r="BH241"/>
  <c r="AF241" s="1"/>
  <c r="BI241"/>
  <c r="AE241" s="1"/>
  <c r="BJ241"/>
  <c r="H243"/>
  <c r="I243"/>
  <c r="J243"/>
  <c r="AL243" s="1"/>
  <c r="Z243"/>
  <c r="AB243"/>
  <c r="AC243"/>
  <c r="AF243"/>
  <c r="AG243"/>
  <c r="AH243"/>
  <c r="AK243"/>
  <c r="AO243"/>
  <c r="AP243"/>
  <c r="AW243"/>
  <c r="AV243" s="1"/>
  <c r="AX243"/>
  <c r="BD243"/>
  <c r="BF243"/>
  <c r="BH243"/>
  <c r="AD243" s="1"/>
  <c r="BI243"/>
  <c r="AE243" s="1"/>
  <c r="BJ243"/>
  <c r="H246"/>
  <c r="I246"/>
  <c r="J246"/>
  <c r="AB246"/>
  <c r="AF246"/>
  <c r="AG246"/>
  <c r="AH246"/>
  <c r="AJ246"/>
  <c r="AO246"/>
  <c r="AP246"/>
  <c r="AV246"/>
  <c r="AW246"/>
  <c r="AX246"/>
  <c r="BC246"/>
  <c r="BD246"/>
  <c r="BF246"/>
  <c r="BH246"/>
  <c r="AD246" s="1"/>
  <c r="BI246"/>
  <c r="AE246" s="1"/>
  <c r="BJ246"/>
  <c r="Z246" s="1"/>
  <c r="H250"/>
  <c r="I250"/>
  <c r="J250"/>
  <c r="AL250" s="1"/>
  <c r="Z250"/>
  <c r="AB250"/>
  <c r="AC250"/>
  <c r="AF250"/>
  <c r="AG250"/>
  <c r="AH250"/>
  <c r="AJ250"/>
  <c r="AK250"/>
  <c r="AO250"/>
  <c r="AP250"/>
  <c r="AW250"/>
  <c r="AX250"/>
  <c r="BC250"/>
  <c r="BD250"/>
  <c r="BF250"/>
  <c r="BH250"/>
  <c r="AD250" s="1"/>
  <c r="BI250"/>
  <c r="AE250" s="1"/>
  <c r="BJ250"/>
  <c r="H261"/>
  <c r="I261"/>
  <c r="J261"/>
  <c r="J249" s="1"/>
  <c r="AB261"/>
  <c r="AF261"/>
  <c r="AG261"/>
  <c r="AO261"/>
  <c r="AP261"/>
  <c r="AV261"/>
  <c r="AW261"/>
  <c r="BC261" s="1"/>
  <c r="AX261"/>
  <c r="BD261"/>
  <c r="BF261"/>
  <c r="BH261"/>
  <c r="AD261" s="1"/>
  <c r="BI261"/>
  <c r="AE261" s="1"/>
  <c r="BJ261"/>
  <c r="AH261" s="1"/>
  <c r="H263"/>
  <c r="J263"/>
  <c r="AF263"/>
  <c r="AH263"/>
  <c r="AO263"/>
  <c r="AP263"/>
  <c r="AX263" s="1"/>
  <c r="AV263" s="1"/>
  <c r="AW263"/>
  <c r="BD263"/>
  <c r="BF263"/>
  <c r="BH263"/>
  <c r="AD263" s="1"/>
  <c r="BI263"/>
  <c r="AC263" s="1"/>
  <c r="BJ263"/>
  <c r="Z263" s="1"/>
  <c r="J265"/>
  <c r="AK265" s="1"/>
  <c r="AF265"/>
  <c r="AG265"/>
  <c r="AL265"/>
  <c r="AO265"/>
  <c r="AW265" s="1"/>
  <c r="AP265"/>
  <c r="AX265" s="1"/>
  <c r="BD265"/>
  <c r="BF265"/>
  <c r="BH265"/>
  <c r="AB265" s="1"/>
  <c r="BI265"/>
  <c r="AC265" s="1"/>
  <c r="BJ265"/>
  <c r="J267"/>
  <c r="AE267"/>
  <c r="AF267"/>
  <c r="AJ267"/>
  <c r="AK267"/>
  <c r="AL267"/>
  <c r="AO267"/>
  <c r="AW267" s="1"/>
  <c r="AP267"/>
  <c r="BD267"/>
  <c r="BF267"/>
  <c r="BH267"/>
  <c r="AB267" s="1"/>
  <c r="BI267"/>
  <c r="AG267" s="1"/>
  <c r="BJ267"/>
  <c r="J269"/>
  <c r="Z269"/>
  <c r="AC269"/>
  <c r="AD269"/>
  <c r="AE269"/>
  <c r="AJ269"/>
  <c r="AK269"/>
  <c r="AL269"/>
  <c r="AO269"/>
  <c r="AP269"/>
  <c r="BD269"/>
  <c r="BF269"/>
  <c r="BH269"/>
  <c r="AF269" s="1"/>
  <c r="BI269"/>
  <c r="AG269" s="1"/>
  <c r="BJ269"/>
  <c r="AH269" s="1"/>
  <c r="J271"/>
  <c r="Z271"/>
  <c r="AC271"/>
  <c r="AH271"/>
  <c r="AJ271"/>
  <c r="AK271"/>
  <c r="AL271"/>
  <c r="AO271"/>
  <c r="BH271" s="1"/>
  <c r="AP271"/>
  <c r="I271" s="1"/>
  <c r="AX271"/>
  <c r="BD271"/>
  <c r="BF271"/>
  <c r="BI271"/>
  <c r="AG271" s="1"/>
  <c r="BJ271"/>
  <c r="I273"/>
  <c r="J273"/>
  <c r="AK273" s="1"/>
  <c r="Z273"/>
  <c r="AB273"/>
  <c r="AC273"/>
  <c r="AG273"/>
  <c r="AH273"/>
  <c r="AO273"/>
  <c r="H273" s="1"/>
  <c r="AP273"/>
  <c r="AW273"/>
  <c r="AV273" s="1"/>
  <c r="AX273"/>
  <c r="BC273"/>
  <c r="BD273"/>
  <c r="BF273"/>
  <c r="BH273"/>
  <c r="AF273" s="1"/>
  <c r="BI273"/>
  <c r="AE273" s="1"/>
  <c r="BJ273"/>
  <c r="H275"/>
  <c r="I275"/>
  <c r="J275"/>
  <c r="AL275" s="1"/>
  <c r="AB275"/>
  <c r="AC275"/>
  <c r="AF275"/>
  <c r="AG275"/>
  <c r="AK275"/>
  <c r="AO275"/>
  <c r="AP275"/>
  <c r="AV275"/>
  <c r="AW275"/>
  <c r="BC275" s="1"/>
  <c r="AX275"/>
  <c r="BD275"/>
  <c r="BF275"/>
  <c r="BH275"/>
  <c r="AD275" s="1"/>
  <c r="BI275"/>
  <c r="AE275" s="1"/>
  <c r="BJ275"/>
  <c r="Z275" s="1"/>
  <c r="H277"/>
  <c r="I277"/>
  <c r="J277"/>
  <c r="AB277"/>
  <c r="AE277"/>
  <c r="AF277"/>
  <c r="AG277"/>
  <c r="AH277"/>
  <c r="AJ277"/>
  <c r="AO277"/>
  <c r="AP277"/>
  <c r="AV277"/>
  <c r="AW277"/>
  <c r="AX277"/>
  <c r="BC277"/>
  <c r="BD277"/>
  <c r="BF277"/>
  <c r="BH277"/>
  <c r="AD277" s="1"/>
  <c r="BI277"/>
  <c r="AC277" s="1"/>
  <c r="BJ277"/>
  <c r="Z277" s="1"/>
  <c r="J279"/>
  <c r="AD279"/>
  <c r="AH279"/>
  <c r="AO279"/>
  <c r="H279" s="1"/>
  <c r="AP279"/>
  <c r="I279" s="1"/>
  <c r="AV279"/>
  <c r="AW279"/>
  <c r="BC279" s="1"/>
  <c r="AX279"/>
  <c r="BD279"/>
  <c r="BF279"/>
  <c r="BH279"/>
  <c r="AB279" s="1"/>
  <c r="BJ279"/>
  <c r="Z279" s="1"/>
  <c r="H281"/>
  <c r="I281"/>
  <c r="J281"/>
  <c r="AK281" s="1"/>
  <c r="AL281"/>
  <c r="AO281"/>
  <c r="BH281" s="1"/>
  <c r="AP281"/>
  <c r="AX281" s="1"/>
  <c r="BD281"/>
  <c r="BF281"/>
  <c r="BI281"/>
  <c r="AG281" s="1"/>
  <c r="BJ281"/>
  <c r="H287"/>
  <c r="J287"/>
  <c r="AF287"/>
  <c r="AJ287"/>
  <c r="AK287"/>
  <c r="AL287"/>
  <c r="AO287"/>
  <c r="AW287" s="1"/>
  <c r="AP287"/>
  <c r="BD287"/>
  <c r="BF287"/>
  <c r="BH287"/>
  <c r="AD287" s="1"/>
  <c r="BI287"/>
  <c r="AG287" s="1"/>
  <c r="BJ287"/>
  <c r="J289"/>
  <c r="Z289"/>
  <c r="AD289"/>
  <c r="AE289"/>
  <c r="AJ289"/>
  <c r="AK289"/>
  <c r="AL289"/>
  <c r="AO289"/>
  <c r="AP289"/>
  <c r="BD289"/>
  <c r="BF289"/>
  <c r="BH289"/>
  <c r="AF289" s="1"/>
  <c r="BI289"/>
  <c r="AG289" s="1"/>
  <c r="BJ289"/>
  <c r="AH289" s="1"/>
  <c r="J291"/>
  <c r="AK291" s="1"/>
  <c r="Z291"/>
  <c r="AC291"/>
  <c r="AH291"/>
  <c r="AL291"/>
  <c r="AO291"/>
  <c r="BH291" s="1"/>
  <c r="AP291"/>
  <c r="I291" s="1"/>
  <c r="AX291"/>
  <c r="BD291"/>
  <c r="BF291"/>
  <c r="BI291"/>
  <c r="AG291" s="1"/>
  <c r="BJ291"/>
  <c r="I293"/>
  <c r="J293"/>
  <c r="AK293" s="1"/>
  <c r="Z293"/>
  <c r="AB293"/>
  <c r="AC293"/>
  <c r="AG293"/>
  <c r="AH293"/>
  <c r="AL293"/>
  <c r="AO293"/>
  <c r="H293" s="1"/>
  <c r="AP293"/>
  <c r="AW293"/>
  <c r="AV293" s="1"/>
  <c r="AX293"/>
  <c r="BC293"/>
  <c r="BD293"/>
  <c r="BF293"/>
  <c r="BH293"/>
  <c r="AF293" s="1"/>
  <c r="BI293"/>
  <c r="AE293" s="1"/>
  <c r="BJ293"/>
  <c r="H295"/>
  <c r="I295"/>
  <c r="J295"/>
  <c r="AL295" s="1"/>
  <c r="AB295"/>
  <c r="AF295"/>
  <c r="AG295"/>
  <c r="AH295"/>
  <c r="AO295"/>
  <c r="AP295"/>
  <c r="AW295"/>
  <c r="AV295" s="1"/>
  <c r="AX295"/>
  <c r="BD295"/>
  <c r="BF295"/>
  <c r="BH295"/>
  <c r="AD295" s="1"/>
  <c r="BI295"/>
  <c r="AE295" s="1"/>
  <c r="BJ295"/>
  <c r="Z295" s="1"/>
  <c r="H297"/>
  <c r="I297"/>
  <c r="J297"/>
  <c r="AF297"/>
  <c r="AJ297"/>
  <c r="AO297"/>
  <c r="AP297"/>
  <c r="AX297" s="1"/>
  <c r="AW297"/>
  <c r="BD297"/>
  <c r="BF297"/>
  <c r="BH297"/>
  <c r="AD297" s="1"/>
  <c r="BJ297"/>
  <c r="AH297" s="1"/>
  <c r="J304"/>
  <c r="AF304"/>
  <c r="AO304"/>
  <c r="H304" s="1"/>
  <c r="AP304"/>
  <c r="I304" s="1"/>
  <c r="AW304"/>
  <c r="AV304" s="1"/>
  <c r="AX304"/>
  <c r="BD304"/>
  <c r="BF304"/>
  <c r="BH304"/>
  <c r="AB304" s="1"/>
  <c r="BJ304"/>
  <c r="Z304" s="1"/>
  <c r="J306"/>
  <c r="AJ306" s="1"/>
  <c r="AK306"/>
  <c r="AL306"/>
  <c r="AO306"/>
  <c r="H306" s="1"/>
  <c r="AP306"/>
  <c r="AX306" s="1"/>
  <c r="BD306"/>
  <c r="BF306"/>
  <c r="BJ306"/>
  <c r="H308"/>
  <c r="J308"/>
  <c r="AJ308"/>
  <c r="AK308"/>
  <c r="AL308"/>
  <c r="AO308"/>
  <c r="AW308" s="1"/>
  <c r="AP308"/>
  <c r="BD308"/>
  <c r="BF308"/>
  <c r="BH308"/>
  <c r="AF308" s="1"/>
  <c r="BI308"/>
  <c r="AG308" s="1"/>
  <c r="BJ308"/>
  <c r="J310"/>
  <c r="Z310"/>
  <c r="AE310"/>
  <c r="AH310"/>
  <c r="AJ310"/>
  <c r="AK310"/>
  <c r="AL310"/>
  <c r="AO310"/>
  <c r="AP310"/>
  <c r="BD310"/>
  <c r="BF310"/>
  <c r="BH310"/>
  <c r="AF310" s="1"/>
  <c r="BI310"/>
  <c r="AG310" s="1"/>
  <c r="BJ310"/>
  <c r="I312"/>
  <c r="J312"/>
  <c r="Z312"/>
  <c r="AC312"/>
  <c r="AG312"/>
  <c r="AH312"/>
  <c r="AJ312"/>
  <c r="AK312"/>
  <c r="AL312"/>
  <c r="AO312"/>
  <c r="BH312" s="1"/>
  <c r="AP312"/>
  <c r="AX312"/>
  <c r="BD312"/>
  <c r="BF312"/>
  <c r="BI312"/>
  <c r="AE312" s="1"/>
  <c r="BJ312"/>
  <c r="H314"/>
  <c r="I314"/>
  <c r="J314"/>
  <c r="AL314" s="1"/>
  <c r="Z314"/>
  <c r="AB314"/>
  <c r="AC314"/>
  <c r="AF314"/>
  <c r="AG314"/>
  <c r="AH314"/>
  <c r="AJ314"/>
  <c r="AK314"/>
  <c r="AO314"/>
  <c r="AP314"/>
  <c r="AW314"/>
  <c r="AX314"/>
  <c r="BC314" s="1"/>
  <c r="BD314"/>
  <c r="BF314"/>
  <c r="BH314"/>
  <c r="AD314" s="1"/>
  <c r="BI314"/>
  <c r="AE314" s="1"/>
  <c r="BJ314"/>
  <c r="H316"/>
  <c r="I316"/>
  <c r="J316"/>
  <c r="AL316" s="1"/>
  <c r="Z316"/>
  <c r="AB316"/>
  <c r="AF316"/>
  <c r="AG316"/>
  <c r="AK316"/>
  <c r="AO316"/>
  <c r="AP316"/>
  <c r="AW316"/>
  <c r="AX316"/>
  <c r="BC316" s="1"/>
  <c r="BD316"/>
  <c r="BF316"/>
  <c r="BH316"/>
  <c r="AD316" s="1"/>
  <c r="BI316"/>
  <c r="AE316" s="1"/>
  <c r="BJ316"/>
  <c r="AH316" s="1"/>
  <c r="H320"/>
  <c r="I320"/>
  <c r="J320"/>
  <c r="AJ320" s="1"/>
  <c r="AE320"/>
  <c r="AF320"/>
  <c r="AG320"/>
  <c r="AH320"/>
  <c r="AO320"/>
  <c r="AP320"/>
  <c r="AW320"/>
  <c r="AV320" s="1"/>
  <c r="AX320"/>
  <c r="BD320"/>
  <c r="BF320"/>
  <c r="BH320"/>
  <c r="AD320" s="1"/>
  <c r="BI320"/>
  <c r="AC320" s="1"/>
  <c r="BJ320"/>
  <c r="Z320" s="1"/>
  <c r="H322"/>
  <c r="I322"/>
  <c r="J322"/>
  <c r="AL322"/>
  <c r="AO322"/>
  <c r="AW322" s="1"/>
  <c r="AP322"/>
  <c r="AX322" s="1"/>
  <c r="BD322"/>
  <c r="BF322"/>
  <c r="BH322"/>
  <c r="AB322" s="1"/>
  <c r="BI322"/>
  <c r="AC322" s="1"/>
  <c r="BJ322"/>
  <c r="Z322" s="1"/>
  <c r="H324"/>
  <c r="J324"/>
  <c r="AJ324" s="1"/>
  <c r="AE324"/>
  <c r="AK324"/>
  <c r="AL324"/>
  <c r="AO324"/>
  <c r="BH324" s="1"/>
  <c r="AP324"/>
  <c r="AX324" s="1"/>
  <c r="AV324"/>
  <c r="AW324"/>
  <c r="BC324" s="1"/>
  <c r="BD324"/>
  <c r="BF324"/>
  <c r="BI324"/>
  <c r="AC324" s="1"/>
  <c r="BJ324"/>
  <c r="J327"/>
  <c r="AL327" s="1"/>
  <c r="AU326" s="1"/>
  <c r="AE327"/>
  <c r="AG327"/>
  <c r="AH327"/>
  <c r="AO327"/>
  <c r="BH327" s="1"/>
  <c r="AP327"/>
  <c r="I327" s="1"/>
  <c r="I326" s="1"/>
  <c r="AW327"/>
  <c r="BC327" s="1"/>
  <c r="AX327"/>
  <c r="BD327"/>
  <c r="BF327"/>
  <c r="BI327"/>
  <c r="AC327" s="1"/>
  <c r="BJ327"/>
  <c r="Z327" s="1"/>
  <c r="J330"/>
  <c r="AJ330" s="1"/>
  <c r="AE330"/>
  <c r="AF330"/>
  <c r="AG330"/>
  <c r="AH330"/>
  <c r="AO330"/>
  <c r="H330" s="1"/>
  <c r="H329" s="1"/>
  <c r="AP330"/>
  <c r="I330" s="1"/>
  <c r="I329" s="1"/>
  <c r="AW330"/>
  <c r="AV330" s="1"/>
  <c r="AX330"/>
  <c r="BD330"/>
  <c r="BF330"/>
  <c r="BH330"/>
  <c r="AB330" s="1"/>
  <c r="BI330"/>
  <c r="AC330" s="1"/>
  <c r="BJ330"/>
  <c r="Z330" s="1"/>
  <c r="H332"/>
  <c r="I332"/>
  <c r="J332"/>
  <c r="AK332" s="1"/>
  <c r="Z332"/>
  <c r="AD332"/>
  <c r="AF332"/>
  <c r="AH332"/>
  <c r="AO332"/>
  <c r="AP332"/>
  <c r="BI332" s="1"/>
  <c r="AW332"/>
  <c r="AV332" s="1"/>
  <c r="AX332"/>
  <c r="BC332" s="1"/>
  <c r="BD332"/>
  <c r="BF332"/>
  <c r="BH332"/>
  <c r="AB332" s="1"/>
  <c r="BJ332"/>
  <c r="J335"/>
  <c r="AL335" s="1"/>
  <c r="AJ335"/>
  <c r="AK335"/>
  <c r="AO335"/>
  <c r="BH335" s="1"/>
  <c r="AP335"/>
  <c r="I335" s="1"/>
  <c r="BD335"/>
  <c r="BF335"/>
  <c r="BI335"/>
  <c r="AC335" s="1"/>
  <c r="BJ335"/>
  <c r="Z335" s="1"/>
  <c r="H341"/>
  <c r="J341"/>
  <c r="AK341" s="1"/>
  <c r="AD341"/>
  <c r="AF341"/>
  <c r="AO341"/>
  <c r="AP341"/>
  <c r="BI341" s="1"/>
  <c r="AW341"/>
  <c r="BD341"/>
  <c r="BF341"/>
  <c r="BH341"/>
  <c r="AB341" s="1"/>
  <c r="BJ341"/>
  <c r="Z341" s="1"/>
  <c r="H343"/>
  <c r="I343"/>
  <c r="J343"/>
  <c r="AJ343" s="1"/>
  <c r="AF343"/>
  <c r="AH343"/>
  <c r="AK343"/>
  <c r="AL343"/>
  <c r="AO343"/>
  <c r="AP343"/>
  <c r="BI343" s="1"/>
  <c r="AV343"/>
  <c r="AW343"/>
  <c r="BC343" s="1"/>
  <c r="AX343"/>
  <c r="BD343"/>
  <c r="BF343"/>
  <c r="BH343"/>
  <c r="AD343" s="1"/>
  <c r="BJ343"/>
  <c r="Z343" s="1"/>
  <c r="H345"/>
  <c r="I345"/>
  <c r="J345"/>
  <c r="Z345"/>
  <c r="AG345"/>
  <c r="AJ345"/>
  <c r="AK345"/>
  <c r="AL345"/>
  <c r="AO345"/>
  <c r="BH345" s="1"/>
  <c r="AP345"/>
  <c r="AX345" s="1"/>
  <c r="AW345"/>
  <c r="AV345" s="1"/>
  <c r="BD345"/>
  <c r="BF345"/>
  <c r="BI345"/>
  <c r="AE345" s="1"/>
  <c r="BJ345"/>
  <c r="AH345" s="1"/>
  <c r="J347"/>
  <c r="AL347" s="1"/>
  <c r="Z347"/>
  <c r="AE347"/>
  <c r="AH347"/>
  <c r="AO347"/>
  <c r="AW347" s="1"/>
  <c r="BC347" s="1"/>
  <c r="AP347"/>
  <c r="I347" s="1"/>
  <c r="AV347"/>
  <c r="AX347"/>
  <c r="BD347"/>
  <c r="BF347"/>
  <c r="BH347"/>
  <c r="AF347" s="1"/>
  <c r="BI347"/>
  <c r="AG347" s="1"/>
  <c r="BJ347"/>
  <c r="J349"/>
  <c r="Z349"/>
  <c r="AH349"/>
  <c r="AJ349"/>
  <c r="AK349"/>
  <c r="AL349"/>
  <c r="AO349"/>
  <c r="H349" s="1"/>
  <c r="AP349"/>
  <c r="I349" s="1"/>
  <c r="BD349"/>
  <c r="BF349"/>
  <c r="BH349"/>
  <c r="AF349" s="1"/>
  <c r="BI349"/>
  <c r="AG349" s="1"/>
  <c r="BJ349"/>
  <c r="I351"/>
  <c r="J351"/>
  <c r="AL351" s="1"/>
  <c r="AC351"/>
  <c r="AG351"/>
  <c r="AJ351"/>
  <c r="AO351"/>
  <c r="H351" s="1"/>
  <c r="AP351"/>
  <c r="AX351"/>
  <c r="BD351"/>
  <c r="BF351"/>
  <c r="BH351"/>
  <c r="AB351" s="1"/>
  <c r="BI351"/>
  <c r="AE351" s="1"/>
  <c r="BJ351"/>
  <c r="Z351" s="1"/>
  <c r="I354"/>
  <c r="I353" s="1"/>
  <c r="J354"/>
  <c r="J353" s="1"/>
  <c r="Z354"/>
  <c r="AG354"/>
  <c r="AH354"/>
  <c r="AJ354"/>
  <c r="AS353" s="1"/>
  <c r="AO354"/>
  <c r="H354" s="1"/>
  <c r="H353" s="1"/>
  <c r="AP354"/>
  <c r="AX354"/>
  <c r="BD354"/>
  <c r="BF354"/>
  <c r="BI354"/>
  <c r="AE354" s="1"/>
  <c r="BJ354"/>
  <c r="H356"/>
  <c r="I356"/>
  <c r="J356"/>
  <c r="AK356" s="1"/>
  <c r="Z356"/>
  <c r="AB356"/>
  <c r="AC356"/>
  <c r="AD356"/>
  <c r="AF356"/>
  <c r="AG356"/>
  <c r="AH356"/>
  <c r="AJ356"/>
  <c r="AO356"/>
  <c r="AP356"/>
  <c r="AW356"/>
  <c r="AV356" s="1"/>
  <c r="AX356"/>
  <c r="BC356" s="1"/>
  <c r="BD356"/>
  <c r="BF356"/>
  <c r="BH356"/>
  <c r="BI356"/>
  <c r="AE356" s="1"/>
  <c r="BJ356"/>
  <c r="J358"/>
  <c r="J359"/>
  <c r="Z359"/>
  <c r="AH359"/>
  <c r="AJ359"/>
  <c r="AK359"/>
  <c r="AL359"/>
  <c r="AO359"/>
  <c r="H359" s="1"/>
  <c r="AP359"/>
  <c r="I359" s="1"/>
  <c r="BD359"/>
  <c r="BF359"/>
  <c r="BH359"/>
  <c r="AF359" s="1"/>
  <c r="BI359"/>
  <c r="AG359" s="1"/>
  <c r="BJ359"/>
  <c r="I379"/>
  <c r="J379"/>
  <c r="AL379" s="1"/>
  <c r="AC379"/>
  <c r="AG379"/>
  <c r="AJ379"/>
  <c r="AO379"/>
  <c r="BH379" s="1"/>
  <c r="AP379"/>
  <c r="AX379"/>
  <c r="BD379"/>
  <c r="BF379"/>
  <c r="BI379"/>
  <c r="AE379" s="1"/>
  <c r="BJ379"/>
  <c r="Z379" s="1"/>
  <c r="H381"/>
  <c r="J381"/>
  <c r="AL381" s="1"/>
  <c r="AB381"/>
  <c r="AF381"/>
  <c r="AJ381"/>
  <c r="AO381"/>
  <c r="AP381"/>
  <c r="BI381" s="1"/>
  <c r="AW381"/>
  <c r="BD381"/>
  <c r="BF381"/>
  <c r="BH381"/>
  <c r="AD381" s="1"/>
  <c r="BJ381"/>
  <c r="Z381" s="1"/>
  <c r="H388"/>
  <c r="J388"/>
  <c r="AL388" s="1"/>
  <c r="AD388"/>
  <c r="AF388"/>
  <c r="AJ388"/>
  <c r="AO388"/>
  <c r="AP388"/>
  <c r="I388" s="1"/>
  <c r="AW388"/>
  <c r="BD388"/>
  <c r="BF388"/>
  <c r="BH388"/>
  <c r="AB388" s="1"/>
  <c r="BI388"/>
  <c r="AC388" s="1"/>
  <c r="BJ388"/>
  <c r="Z388" s="1"/>
  <c r="H396"/>
  <c r="I396"/>
  <c r="J396"/>
  <c r="AK396" s="1"/>
  <c r="AD396"/>
  <c r="AE396"/>
  <c r="AF396"/>
  <c r="AG396"/>
  <c r="AJ396"/>
  <c r="AL396"/>
  <c r="AO396"/>
  <c r="AP396"/>
  <c r="AV396"/>
  <c r="AW396"/>
  <c r="BC396" s="1"/>
  <c r="AX396"/>
  <c r="BD396"/>
  <c r="BF396"/>
  <c r="BH396"/>
  <c r="AB396" s="1"/>
  <c r="BI396"/>
  <c r="AC396" s="1"/>
  <c r="BJ396"/>
  <c r="Z396" s="1"/>
  <c r="H404"/>
  <c r="I404"/>
  <c r="J404"/>
  <c r="AJ404" s="1"/>
  <c r="AG404"/>
  <c r="AH404"/>
  <c r="AK404"/>
  <c r="AO404"/>
  <c r="BH404" s="1"/>
  <c r="AP404"/>
  <c r="AW404"/>
  <c r="BC404" s="1"/>
  <c r="AX404"/>
  <c r="BD404"/>
  <c r="BF404"/>
  <c r="BI404"/>
  <c r="AE404" s="1"/>
  <c r="BJ404"/>
  <c r="Z404" s="1"/>
  <c r="H419"/>
  <c r="I419"/>
  <c r="J419"/>
  <c r="Z419"/>
  <c r="AJ419"/>
  <c r="AK419"/>
  <c r="AL419"/>
  <c r="AO419"/>
  <c r="AP419"/>
  <c r="AX419" s="1"/>
  <c r="AW419"/>
  <c r="AV419" s="1"/>
  <c r="BC419"/>
  <c r="BD419"/>
  <c r="BF419"/>
  <c r="BH419"/>
  <c r="AF419" s="1"/>
  <c r="BJ419"/>
  <c r="AH419" s="1"/>
  <c r="J426"/>
  <c r="Z426"/>
  <c r="AJ426"/>
  <c r="AK426"/>
  <c r="AL426"/>
  <c r="AO426"/>
  <c r="AW426" s="1"/>
  <c r="AP426"/>
  <c r="I426" s="1"/>
  <c r="BD426"/>
  <c r="BF426"/>
  <c r="BH426"/>
  <c r="AF426" s="1"/>
  <c r="BI426"/>
  <c r="AG426" s="1"/>
  <c r="BJ426"/>
  <c r="AH426" s="1"/>
  <c r="J430"/>
  <c r="AL430" s="1"/>
  <c r="Z430"/>
  <c r="AH430"/>
  <c r="AO430"/>
  <c r="H430" s="1"/>
  <c r="AP430"/>
  <c r="I430" s="1"/>
  <c r="BD430"/>
  <c r="BF430"/>
  <c r="BI430"/>
  <c r="AE430" s="1"/>
  <c r="BJ430"/>
  <c r="H432"/>
  <c r="I432"/>
  <c r="J432"/>
  <c r="AC432"/>
  <c r="AD432"/>
  <c r="AF432"/>
  <c r="AG432"/>
  <c r="AJ432"/>
  <c r="AK432"/>
  <c r="AL432"/>
  <c r="AO432"/>
  <c r="AP432"/>
  <c r="AV432"/>
  <c r="AW432"/>
  <c r="BC432" s="1"/>
  <c r="AX432"/>
  <c r="BD432"/>
  <c r="BF432"/>
  <c r="BH432"/>
  <c r="AB432" s="1"/>
  <c r="BI432"/>
  <c r="AE432" s="1"/>
  <c r="BJ432"/>
  <c r="Z432" s="1"/>
  <c r="H435"/>
  <c r="J435"/>
  <c r="AB435"/>
  <c r="AF435"/>
  <c r="AJ435"/>
  <c r="AK435"/>
  <c r="AL435"/>
  <c r="AO435"/>
  <c r="AP435"/>
  <c r="I435" s="1"/>
  <c r="AW435"/>
  <c r="BD435"/>
  <c r="BF435"/>
  <c r="BH435"/>
  <c r="AD435" s="1"/>
  <c r="BI435"/>
  <c r="AC435" s="1"/>
  <c r="BJ435"/>
  <c r="Z435" s="1"/>
  <c r="H437"/>
  <c r="H438"/>
  <c r="I438"/>
  <c r="I437" s="1"/>
  <c r="J438"/>
  <c r="J437" s="1"/>
  <c r="Z438"/>
  <c r="AB438"/>
  <c r="AC438"/>
  <c r="AD438"/>
  <c r="AF438"/>
  <c r="AG438"/>
  <c r="AH438"/>
  <c r="AJ438"/>
  <c r="AS437" s="1"/>
  <c r="AO438"/>
  <c r="AP438"/>
  <c r="AW438"/>
  <c r="AV438" s="1"/>
  <c r="AX438"/>
  <c r="BC438" s="1"/>
  <c r="BD438"/>
  <c r="BF438"/>
  <c r="BH438"/>
  <c r="BI438"/>
  <c r="AE438" s="1"/>
  <c r="BJ438"/>
  <c r="J440"/>
  <c r="J441"/>
  <c r="Z441"/>
  <c r="AH441"/>
  <c r="AJ441"/>
  <c r="AK441"/>
  <c r="AL441"/>
  <c r="AO441"/>
  <c r="H441" s="1"/>
  <c r="AP441"/>
  <c r="I441" s="1"/>
  <c r="I440" s="1"/>
  <c r="BD441"/>
  <c r="BF441"/>
  <c r="BH441"/>
  <c r="AF441" s="1"/>
  <c r="BI441"/>
  <c r="AG441" s="1"/>
  <c r="BJ441"/>
  <c r="I443"/>
  <c r="J443"/>
  <c r="AL443" s="1"/>
  <c r="AC443"/>
  <c r="AG443"/>
  <c r="AJ443"/>
  <c r="AO443"/>
  <c r="H443" s="1"/>
  <c r="AP443"/>
  <c r="AX443"/>
  <c r="BD443"/>
  <c r="BF443"/>
  <c r="BH443"/>
  <c r="AB443" s="1"/>
  <c r="BI443"/>
  <c r="AE443" s="1"/>
  <c r="BJ443"/>
  <c r="Z443" s="1"/>
  <c r="H445"/>
  <c r="J445"/>
  <c r="AL445" s="1"/>
  <c r="AB445"/>
  <c r="AF445"/>
  <c r="AJ445"/>
  <c r="AO445"/>
  <c r="AP445"/>
  <c r="I445" s="1"/>
  <c r="AW445"/>
  <c r="BD445"/>
  <c r="BF445"/>
  <c r="BH445"/>
  <c r="AD445" s="1"/>
  <c r="BJ445"/>
  <c r="Z445" s="1"/>
  <c r="H447"/>
  <c r="J447"/>
  <c r="AL447" s="1"/>
  <c r="AD447"/>
  <c r="AF447"/>
  <c r="AJ447"/>
  <c r="AO447"/>
  <c r="AP447"/>
  <c r="I447" s="1"/>
  <c r="AW447"/>
  <c r="BD447"/>
  <c r="BF447"/>
  <c r="BH447"/>
  <c r="AB447" s="1"/>
  <c r="BI447"/>
  <c r="AC447" s="1"/>
  <c r="BJ447"/>
  <c r="Z447" s="1"/>
  <c r="H449"/>
  <c r="I449"/>
  <c r="J449"/>
  <c r="AK449" s="1"/>
  <c r="AD449"/>
  <c r="AE449"/>
  <c r="AF449"/>
  <c r="AG449"/>
  <c r="AJ449"/>
  <c r="AL449"/>
  <c r="AO449"/>
  <c r="AP449"/>
  <c r="AV449"/>
  <c r="AW449"/>
  <c r="BC449" s="1"/>
  <c r="AX449"/>
  <c r="BD449"/>
  <c r="BF449"/>
  <c r="BH449"/>
  <c r="AB449" s="1"/>
  <c r="BI449"/>
  <c r="AC449" s="1"/>
  <c r="BJ449"/>
  <c r="Z449" s="1"/>
  <c r="H451"/>
  <c r="I451"/>
  <c r="J451"/>
  <c r="AJ451" s="1"/>
  <c r="AG451"/>
  <c r="AH451"/>
  <c r="AK451"/>
  <c r="AO451"/>
  <c r="BH451" s="1"/>
  <c r="AP451"/>
  <c r="AW451"/>
  <c r="BC451" s="1"/>
  <c r="AX451"/>
  <c r="BD451"/>
  <c r="BF451"/>
  <c r="BI451"/>
  <c r="AE451" s="1"/>
  <c r="BJ451"/>
  <c r="Z451" s="1"/>
  <c r="H453"/>
  <c r="I453"/>
  <c r="J453"/>
  <c r="Z453"/>
  <c r="AJ453"/>
  <c r="AS440" s="1"/>
  <c r="AK453"/>
  <c r="AL453"/>
  <c r="AO453"/>
  <c r="AP453"/>
  <c r="AX453" s="1"/>
  <c r="AW453"/>
  <c r="AV453" s="1"/>
  <c r="BC453"/>
  <c r="BD453"/>
  <c r="BF453"/>
  <c r="BH453"/>
  <c r="AF453" s="1"/>
  <c r="BJ453"/>
  <c r="AH453" s="1"/>
  <c r="J455"/>
  <c r="Z455"/>
  <c r="AJ455"/>
  <c r="AK455"/>
  <c r="AL455"/>
  <c r="AO455"/>
  <c r="AW455" s="1"/>
  <c r="AP455"/>
  <c r="I455" s="1"/>
  <c r="BD455"/>
  <c r="BF455"/>
  <c r="BH455"/>
  <c r="AF455" s="1"/>
  <c r="BI455"/>
  <c r="AG455" s="1"/>
  <c r="BJ455"/>
  <c r="AH455" s="1"/>
  <c r="J457"/>
  <c r="AL457" s="1"/>
  <c r="AC457"/>
  <c r="AJ457"/>
  <c r="AO457"/>
  <c r="H457" s="1"/>
  <c r="AP457"/>
  <c r="I457" s="1"/>
  <c r="BD457"/>
  <c r="BF457"/>
  <c r="BI457"/>
  <c r="AE457" s="1"/>
  <c r="BJ457"/>
  <c r="Z457" s="1"/>
  <c r="H460"/>
  <c r="J460"/>
  <c r="AL460" s="1"/>
  <c r="AU459" s="1"/>
  <c r="AB460"/>
  <c r="AF460"/>
  <c r="AO460"/>
  <c r="AP460"/>
  <c r="BI460" s="1"/>
  <c r="AW460"/>
  <c r="BD460"/>
  <c r="BF460"/>
  <c r="BH460"/>
  <c r="AD460" s="1"/>
  <c r="BJ460"/>
  <c r="Z460" s="1"/>
  <c r="J461"/>
  <c r="AJ461"/>
  <c r="AK461"/>
  <c r="AL461"/>
  <c r="AO461"/>
  <c r="AW461" s="1"/>
  <c r="AP461"/>
  <c r="AX461" s="1"/>
  <c r="BD461"/>
  <c r="BF461"/>
  <c r="BH461"/>
  <c r="AB461" s="1"/>
  <c r="BI461"/>
  <c r="AC461" s="1"/>
  <c r="BJ461"/>
  <c r="Z461" s="1"/>
  <c r="J462"/>
  <c r="AK462" s="1"/>
  <c r="AC462"/>
  <c r="AL462"/>
  <c r="AO462"/>
  <c r="BH462" s="1"/>
  <c r="AP462"/>
  <c r="AX462" s="1"/>
  <c r="BD462"/>
  <c r="BF462"/>
  <c r="BI462"/>
  <c r="AG462" s="1"/>
  <c r="BJ462"/>
  <c r="AH462" s="1"/>
  <c r="C2" i="2"/>
  <c r="F2"/>
  <c r="C4"/>
  <c r="F4"/>
  <c r="C6"/>
  <c r="F6"/>
  <c r="C8"/>
  <c r="F8"/>
  <c r="C10"/>
  <c r="F10"/>
  <c r="I10"/>
  <c r="F14"/>
  <c r="I14"/>
  <c r="I15"/>
  <c r="I16"/>
  <c r="I17"/>
  <c r="C2" i="3"/>
  <c r="F2"/>
  <c r="C4"/>
  <c r="F4"/>
  <c r="C6"/>
  <c r="F6"/>
  <c r="C8"/>
  <c r="F8"/>
  <c r="C10"/>
  <c r="F10"/>
  <c r="I10"/>
  <c r="I15"/>
  <c r="I16"/>
  <c r="I18" s="1"/>
  <c r="I17"/>
  <c r="F16" i="2" s="1"/>
  <c r="I21" i="3"/>
  <c r="I22"/>
  <c r="I23"/>
  <c r="I24"/>
  <c r="I25"/>
  <c r="I18" i="2" s="1"/>
  <c r="I26" i="3"/>
  <c r="I19" i="2" s="1"/>
  <c r="I35" i="3"/>
  <c r="I36" s="1"/>
  <c r="I24" i="2" s="1"/>
  <c r="BC461" i="1" l="1"/>
  <c r="AV461"/>
  <c r="AF335"/>
  <c r="AD335"/>
  <c r="AB335"/>
  <c r="AB327"/>
  <c r="AD327"/>
  <c r="AF327"/>
  <c r="BC322"/>
  <c r="AV322"/>
  <c r="AF312"/>
  <c r="AD312"/>
  <c r="AB312"/>
  <c r="AB281"/>
  <c r="AF281"/>
  <c r="AD281"/>
  <c r="AC185"/>
  <c r="AG185"/>
  <c r="AE185"/>
  <c r="AD345"/>
  <c r="AB345"/>
  <c r="AF345"/>
  <c r="AG343"/>
  <c r="AC343"/>
  <c r="AE343"/>
  <c r="AF172"/>
  <c r="AB172"/>
  <c r="AD172"/>
  <c r="AF271"/>
  <c r="AB271"/>
  <c r="AD271"/>
  <c r="AB379"/>
  <c r="AF379"/>
  <c r="AD379"/>
  <c r="AC341"/>
  <c r="AG341"/>
  <c r="AE341"/>
  <c r="AC111"/>
  <c r="AG111"/>
  <c r="AE111"/>
  <c r="AD404"/>
  <c r="AF404"/>
  <c r="AB404"/>
  <c r="AF324"/>
  <c r="AB324"/>
  <c r="AD324"/>
  <c r="AB115"/>
  <c r="AF115"/>
  <c r="AD115"/>
  <c r="BC426"/>
  <c r="AV72"/>
  <c r="I22" i="2"/>
  <c r="H137" i="1"/>
  <c r="BC297"/>
  <c r="AV297"/>
  <c r="AF44"/>
  <c r="AD44"/>
  <c r="AB44"/>
  <c r="BC435"/>
  <c r="I137"/>
  <c r="AD451"/>
  <c r="AB451"/>
  <c r="AF451"/>
  <c r="AE381"/>
  <c r="AG381"/>
  <c r="AC381"/>
  <c r="BC265"/>
  <c r="AV265"/>
  <c r="AB187"/>
  <c r="AF187"/>
  <c r="AD187"/>
  <c r="AB462"/>
  <c r="AD462"/>
  <c r="AF462"/>
  <c r="AC460"/>
  <c r="AE460"/>
  <c r="AG460"/>
  <c r="AE332"/>
  <c r="AC332"/>
  <c r="AG332"/>
  <c r="AF291"/>
  <c r="AB291"/>
  <c r="AD291"/>
  <c r="AF216"/>
  <c r="AD216"/>
  <c r="AB216"/>
  <c r="BC166"/>
  <c r="AV166"/>
  <c r="AB35"/>
  <c r="AF35"/>
  <c r="AD35"/>
  <c r="AS358"/>
  <c r="AS329"/>
  <c r="BC445"/>
  <c r="BC447"/>
  <c r="AU440"/>
  <c r="BC460"/>
  <c r="H358"/>
  <c r="Z306"/>
  <c r="AH306"/>
  <c r="Z72"/>
  <c r="AH72"/>
  <c r="AX216"/>
  <c r="I216"/>
  <c r="AB455"/>
  <c r="AE447"/>
  <c r="AC441"/>
  <c r="AC359"/>
  <c r="AD351"/>
  <c r="AC349"/>
  <c r="BC345"/>
  <c r="I111"/>
  <c r="AW239"/>
  <c r="H239"/>
  <c r="AL154"/>
  <c r="AK154"/>
  <c r="AJ154"/>
  <c r="AL131"/>
  <c r="AK131"/>
  <c r="AW41"/>
  <c r="H41"/>
  <c r="Z33"/>
  <c r="AH33"/>
  <c r="AL297"/>
  <c r="AK297"/>
  <c r="AL178"/>
  <c r="AK178"/>
  <c r="AL111"/>
  <c r="AK111"/>
  <c r="AT37" s="1"/>
  <c r="AJ111"/>
  <c r="AW80"/>
  <c r="H80"/>
  <c r="Z287"/>
  <c r="AH287"/>
  <c r="AL277"/>
  <c r="AK277"/>
  <c r="Z265"/>
  <c r="AH265"/>
  <c r="Z166"/>
  <c r="AH166"/>
  <c r="AX80"/>
  <c r="I80"/>
  <c r="Z22"/>
  <c r="AH22"/>
  <c r="Z13"/>
  <c r="AH13"/>
  <c r="AX308"/>
  <c r="AV308" s="1"/>
  <c r="I308"/>
  <c r="Z267"/>
  <c r="AH267"/>
  <c r="AL263"/>
  <c r="AK263"/>
  <c r="AJ263"/>
  <c r="AS249" s="1"/>
  <c r="AL246"/>
  <c r="AU193" s="1"/>
  <c r="AK246"/>
  <c r="AT193" s="1"/>
  <c r="AW191"/>
  <c r="H191"/>
  <c r="H184" s="1"/>
  <c r="AX189"/>
  <c r="AV189" s="1"/>
  <c r="I189"/>
  <c r="Z168"/>
  <c r="AH168"/>
  <c r="AL164"/>
  <c r="J163"/>
  <c r="AK164"/>
  <c r="AJ164"/>
  <c r="AL152"/>
  <c r="AK152"/>
  <c r="AW123"/>
  <c r="H123"/>
  <c r="AW120"/>
  <c r="H120"/>
  <c r="AX118"/>
  <c r="AV118" s="1"/>
  <c r="I118"/>
  <c r="AL56"/>
  <c r="AK56"/>
  <c r="AB441"/>
  <c r="AC430"/>
  <c r="BI445"/>
  <c r="AD443"/>
  <c r="AE462"/>
  <c r="AF461"/>
  <c r="I460"/>
  <c r="AF443"/>
  <c r="AK438"/>
  <c r="AT437" s="1"/>
  <c r="AG435"/>
  <c r="AW430"/>
  <c r="AD359"/>
  <c r="AF351"/>
  <c r="AD349"/>
  <c r="AB347"/>
  <c r="BC320"/>
  <c r="BI297"/>
  <c r="BC295"/>
  <c r="I187"/>
  <c r="H462"/>
  <c r="AG461"/>
  <c r="I461"/>
  <c r="AX460"/>
  <c r="AV460" s="1"/>
  <c r="AH460"/>
  <c r="AW457"/>
  <c r="AG457"/>
  <c r="AD455"/>
  <c r="AB453"/>
  <c r="AH449"/>
  <c r="AX447"/>
  <c r="AV447" s="1"/>
  <c r="AG447"/>
  <c r="AW443"/>
  <c r="AW441"/>
  <c r="AE441"/>
  <c r="AL438"/>
  <c r="AU437" s="1"/>
  <c r="AX435"/>
  <c r="AV435" s="1"/>
  <c r="AH435"/>
  <c r="AH432"/>
  <c r="AX430"/>
  <c r="AG430"/>
  <c r="AD426"/>
  <c r="AB419"/>
  <c r="AH396"/>
  <c r="AX388"/>
  <c r="AV388" s="1"/>
  <c r="AG388"/>
  <c r="AW379"/>
  <c r="H379"/>
  <c r="AW359"/>
  <c r="AE359"/>
  <c r="AL356"/>
  <c r="AK354"/>
  <c r="AT353" s="1"/>
  <c r="AW351"/>
  <c r="AW349"/>
  <c r="AE349"/>
  <c r="AC347"/>
  <c r="AX341"/>
  <c r="AV341" s="1"/>
  <c r="AW335"/>
  <c r="AL332"/>
  <c r="H327"/>
  <c r="H326" s="1"/>
  <c r="AG324"/>
  <c r="AD322"/>
  <c r="AV316"/>
  <c r="AB308"/>
  <c r="AW306"/>
  <c r="AH304"/>
  <c r="Z297"/>
  <c r="AJ295"/>
  <c r="AJ291"/>
  <c r="AC281"/>
  <c r="AF279"/>
  <c r="AH275"/>
  <c r="H265"/>
  <c r="H249" s="1"/>
  <c r="I263"/>
  <c r="I249" s="1"/>
  <c r="BC189"/>
  <c r="AX185"/>
  <c r="AV185" s="1"/>
  <c r="BH182"/>
  <c r="AV178"/>
  <c r="Z178"/>
  <c r="H166"/>
  <c r="I164"/>
  <c r="AG154"/>
  <c r="AX111"/>
  <c r="AV111" s="1"/>
  <c r="AB87"/>
  <c r="AG62"/>
  <c r="BC31"/>
  <c r="F15" i="2"/>
  <c r="F22" s="1"/>
  <c r="AW462" i="1"/>
  <c r="I462"/>
  <c r="AH461"/>
  <c r="AJ460"/>
  <c r="AX457"/>
  <c r="AH457"/>
  <c r="AE455"/>
  <c r="BI453"/>
  <c r="AL451"/>
  <c r="AH447"/>
  <c r="AX445"/>
  <c r="AV445" s="1"/>
  <c r="AH445"/>
  <c r="AH443"/>
  <c r="AX441"/>
  <c r="AV426"/>
  <c r="AE426"/>
  <c r="BI419"/>
  <c r="AL404"/>
  <c r="AU358" s="1"/>
  <c r="AH388"/>
  <c r="AX381"/>
  <c r="AV381" s="1"/>
  <c r="AH381"/>
  <c r="I381"/>
  <c r="I358" s="1"/>
  <c r="AH379"/>
  <c r="AX359"/>
  <c r="BH354"/>
  <c r="AL354"/>
  <c r="AH351"/>
  <c r="AX349"/>
  <c r="AD347"/>
  <c r="AH341"/>
  <c r="I341"/>
  <c r="I334" s="1"/>
  <c r="AX335"/>
  <c r="AG335"/>
  <c r="H335"/>
  <c r="I324"/>
  <c r="AE322"/>
  <c r="AC308"/>
  <c r="BI304"/>
  <c r="AK295"/>
  <c r="AT249" s="1"/>
  <c r="AB287"/>
  <c r="AW281"/>
  <c r="AJ275"/>
  <c r="H267"/>
  <c r="I265"/>
  <c r="BC263"/>
  <c r="BC243"/>
  <c r="BH194"/>
  <c r="AC189"/>
  <c r="AW187"/>
  <c r="BI182"/>
  <c r="AJ176"/>
  <c r="H168"/>
  <c r="I166"/>
  <c r="BC164"/>
  <c r="AF157"/>
  <c r="AH154"/>
  <c r="BC138"/>
  <c r="J137"/>
  <c r="AC118"/>
  <c r="AW115"/>
  <c r="AV101"/>
  <c r="AF68"/>
  <c r="AH62"/>
  <c r="BC53"/>
  <c r="BH41"/>
  <c r="BI25"/>
  <c r="H22"/>
  <c r="H12" s="1"/>
  <c r="AL261"/>
  <c r="AU249" s="1"/>
  <c r="AK261"/>
  <c r="AX194"/>
  <c r="AV194" s="1"/>
  <c r="I194"/>
  <c r="I193" s="1"/>
  <c r="Z31"/>
  <c r="AH31"/>
  <c r="Z281"/>
  <c r="AH281"/>
  <c r="Z115"/>
  <c r="AH115"/>
  <c r="Z308"/>
  <c r="AH308"/>
  <c r="Z189"/>
  <c r="AH189"/>
  <c r="AL185"/>
  <c r="AU184" s="1"/>
  <c r="J184"/>
  <c r="AK185"/>
  <c r="AT184" s="1"/>
  <c r="AJ185"/>
  <c r="Z118"/>
  <c r="AH118"/>
  <c r="AW87"/>
  <c r="H87"/>
  <c r="AX38"/>
  <c r="AV38" s="1"/>
  <c r="I38"/>
  <c r="AX33"/>
  <c r="BC33" s="1"/>
  <c r="I33"/>
  <c r="AC22"/>
  <c r="AG22"/>
  <c r="AL330"/>
  <c r="J329"/>
  <c r="AK330"/>
  <c r="AT329" s="1"/>
  <c r="AW310"/>
  <c r="H310"/>
  <c r="AX191"/>
  <c r="I191"/>
  <c r="Z182"/>
  <c r="AH182"/>
  <c r="AX120"/>
  <c r="I120"/>
  <c r="Z25"/>
  <c r="AH25"/>
  <c r="Z324"/>
  <c r="AH324"/>
  <c r="AL320"/>
  <c r="AK320"/>
  <c r="AX310"/>
  <c r="I310"/>
  <c r="AL304"/>
  <c r="AK304"/>
  <c r="AJ304"/>
  <c r="AW291"/>
  <c r="H291"/>
  <c r="AX289"/>
  <c r="I289"/>
  <c r="AW271"/>
  <c r="H271"/>
  <c r="AW269"/>
  <c r="H269"/>
  <c r="AX267"/>
  <c r="AV267" s="1"/>
  <c r="I267"/>
  <c r="Z194"/>
  <c r="AH194"/>
  <c r="AL180"/>
  <c r="AK180"/>
  <c r="AJ180"/>
  <c r="AW172"/>
  <c r="H172"/>
  <c r="AW170"/>
  <c r="H170"/>
  <c r="AX168"/>
  <c r="BC168" s="1"/>
  <c r="I168"/>
  <c r="AL108"/>
  <c r="AK108"/>
  <c r="AD461"/>
  <c r="BH457"/>
  <c r="AB349"/>
  <c r="I157"/>
  <c r="I68"/>
  <c r="I27" i="3"/>
  <c r="F29" s="1"/>
  <c r="AB426" i="1"/>
  <c r="AE388"/>
  <c r="J334"/>
  <c r="I185"/>
  <c r="BC72"/>
  <c r="H461"/>
  <c r="H459" s="1"/>
  <c r="AC455"/>
  <c r="AC426"/>
  <c r="BC176"/>
  <c r="BC157"/>
  <c r="I115"/>
  <c r="AG13"/>
  <c r="AK460"/>
  <c r="AT459" s="1"/>
  <c r="J459"/>
  <c r="AX455"/>
  <c r="BC455" s="1"/>
  <c r="AC451"/>
  <c r="AD419"/>
  <c r="AC354"/>
  <c r="AC345"/>
  <c r="AB343"/>
  <c r="AJ341"/>
  <c r="AH335"/>
  <c r="AF322"/>
  <c r="AD308"/>
  <c r="AC287"/>
  <c r="AE281"/>
  <c r="BC267"/>
  <c r="AE263"/>
  <c r="BI216"/>
  <c r="BI194"/>
  <c r="AK176"/>
  <c r="AH131"/>
  <c r="AD87"/>
  <c r="AJ462"/>
  <c r="Z462"/>
  <c r="AK457"/>
  <c r="H455"/>
  <c r="H440" s="1"/>
  <c r="AK447"/>
  <c r="AK445"/>
  <c r="AK443"/>
  <c r="AK430"/>
  <c r="H426"/>
  <c r="AK388"/>
  <c r="AK381"/>
  <c r="AK379"/>
  <c r="AT358" s="1"/>
  <c r="AK351"/>
  <c r="AL341"/>
  <c r="AU334" s="1"/>
  <c r="AS334"/>
  <c r="AG322"/>
  <c r="AC310"/>
  <c r="AE308"/>
  <c r="BH306"/>
  <c r="AJ293"/>
  <c r="AB289"/>
  <c r="BI279"/>
  <c r="AJ273"/>
  <c r="AC267"/>
  <c r="AD265"/>
  <c r="AJ261"/>
  <c r="AV250"/>
  <c r="AJ243"/>
  <c r="AS193" s="1"/>
  <c r="BH239"/>
  <c r="H194"/>
  <c r="AC191"/>
  <c r="AE189"/>
  <c r="AH185"/>
  <c r="I182"/>
  <c r="BC180"/>
  <c r="AJ174"/>
  <c r="AC168"/>
  <c r="AD166"/>
  <c r="BI157"/>
  <c r="AJ138"/>
  <c r="AJ131"/>
  <c r="AV128"/>
  <c r="AC120"/>
  <c r="AE118"/>
  <c r="AH111"/>
  <c r="BH80"/>
  <c r="BH72"/>
  <c r="BI68"/>
  <c r="AJ53"/>
  <c r="AS37" s="1"/>
  <c r="BH38"/>
  <c r="BH33"/>
  <c r="I25"/>
  <c r="I24" s="1"/>
  <c r="AD22"/>
  <c r="AW312"/>
  <c r="H312"/>
  <c r="AL279"/>
  <c r="AK279"/>
  <c r="AJ279"/>
  <c r="AW216"/>
  <c r="H216"/>
  <c r="AL62"/>
  <c r="AK62"/>
  <c r="AJ62"/>
  <c r="AW44"/>
  <c r="H44"/>
  <c r="Z38"/>
  <c r="AH38"/>
  <c r="AW35"/>
  <c r="H35"/>
  <c r="H27" s="1"/>
  <c r="Z187"/>
  <c r="AH187"/>
  <c r="AX41"/>
  <c r="I41"/>
  <c r="AX35"/>
  <c r="I35"/>
  <c r="I27" s="1"/>
  <c r="AL28"/>
  <c r="J27"/>
  <c r="AK28"/>
  <c r="AT27" s="1"/>
  <c r="AJ28"/>
  <c r="AK322"/>
  <c r="AJ322"/>
  <c r="AX72"/>
  <c r="I72"/>
  <c r="J326"/>
  <c r="AK327"/>
  <c r="AT326" s="1"/>
  <c r="AJ327"/>
  <c r="AS326" s="1"/>
  <c r="AW289"/>
  <c r="H289"/>
  <c r="AX287"/>
  <c r="AV287" s="1"/>
  <c r="I287"/>
  <c r="AX22"/>
  <c r="AV22" s="1"/>
  <c r="I22"/>
  <c r="I12" s="1"/>
  <c r="AX269"/>
  <c r="I269"/>
  <c r="AX170"/>
  <c r="I170"/>
  <c r="Z157"/>
  <c r="AH157"/>
  <c r="Z68"/>
  <c r="AH68"/>
  <c r="AE435"/>
  <c r="AB359"/>
  <c r="AJ347"/>
  <c r="AL273"/>
  <c r="AE461"/>
  <c r="AK347"/>
  <c r="AT334" s="1"/>
  <c r="Z261"/>
  <c r="AK101"/>
  <c r="H38"/>
  <c r="H33"/>
  <c r="AD441"/>
  <c r="AE335"/>
  <c r="AJ332"/>
  <c r="BC330"/>
  <c r="BC185"/>
  <c r="BC111"/>
  <c r="BC108"/>
  <c r="BC68"/>
  <c r="AD453"/>
  <c r="AJ430"/>
  <c r="AX426"/>
  <c r="AC404"/>
  <c r="AB310"/>
  <c r="AB191"/>
  <c r="AD189"/>
  <c r="AE187"/>
  <c r="AE164"/>
  <c r="AB123"/>
  <c r="AB120"/>
  <c r="AD118"/>
  <c r="AE115"/>
  <c r="BI41"/>
  <c r="BI35"/>
  <c r="AV451"/>
  <c r="BH430"/>
  <c r="AV404"/>
  <c r="AW354"/>
  <c r="H347"/>
  <c r="AD330"/>
  <c r="AV327"/>
  <c r="AH322"/>
  <c r="AJ316"/>
  <c r="AV314"/>
  <c r="AD310"/>
  <c r="BI306"/>
  <c r="I306"/>
  <c r="BC304"/>
  <c r="AD304"/>
  <c r="AC289"/>
  <c r="AE287"/>
  <c r="AB269"/>
  <c r="AD267"/>
  <c r="AE265"/>
  <c r="AG263"/>
  <c r="J193"/>
  <c r="AD191"/>
  <c r="AF189"/>
  <c r="AG187"/>
  <c r="AV182"/>
  <c r="AE180"/>
  <c r="AB170"/>
  <c r="AD168"/>
  <c r="AE166"/>
  <c r="AG164"/>
  <c r="AV154"/>
  <c r="AT137"/>
  <c r="AU137"/>
  <c r="AD123"/>
  <c r="AD120"/>
  <c r="AF118"/>
  <c r="AG115"/>
  <c r="AV94"/>
  <c r="BI80"/>
  <c r="BI72"/>
  <c r="AV62"/>
  <c r="J37"/>
  <c r="BI38"/>
  <c r="BI33"/>
  <c r="BI31"/>
  <c r="AV25"/>
  <c r="AE22"/>
  <c r="AB320"/>
  <c r="AC316"/>
  <c r="AB297"/>
  <c r="AC295"/>
  <c r="AD293"/>
  <c r="AE291"/>
  <c r="AD273"/>
  <c r="AE271"/>
  <c r="AD241"/>
  <c r="AE239"/>
  <c r="AD174"/>
  <c r="AE172"/>
  <c r="AD126"/>
  <c r="AE123"/>
  <c r="AD94"/>
  <c r="AE87"/>
  <c r="AD50"/>
  <c r="AE44"/>
  <c r="AJ281"/>
  <c r="AJ265"/>
  <c r="AB263"/>
  <c r="AC261"/>
  <c r="AC246"/>
  <c r="AJ187"/>
  <c r="AB185"/>
  <c r="AJ182"/>
  <c r="AB180"/>
  <c r="AC178"/>
  <c r="AJ166"/>
  <c r="AB164"/>
  <c r="AJ157"/>
  <c r="AB154"/>
  <c r="AC152"/>
  <c r="AC131"/>
  <c r="AJ115"/>
  <c r="AB111"/>
  <c r="AC108"/>
  <c r="AJ68"/>
  <c r="AB62"/>
  <c r="AC56"/>
  <c r="AJ31"/>
  <c r="AB28"/>
  <c r="AJ25"/>
  <c r="AS24" s="1"/>
  <c r="AJ13"/>
  <c r="AK25"/>
  <c r="AT24" s="1"/>
  <c r="AK13"/>
  <c r="AT12" s="1"/>
  <c r="J12"/>
  <c r="C17" i="2" l="1"/>
  <c r="AV354" i="1"/>
  <c r="BC354"/>
  <c r="BC216"/>
  <c r="AV216"/>
  <c r="AB33"/>
  <c r="AF33"/>
  <c r="AD33"/>
  <c r="C16" i="2" s="1"/>
  <c r="AC297" i="1"/>
  <c r="AG297"/>
  <c r="AE297"/>
  <c r="AU27"/>
  <c r="C29" i="2"/>
  <c r="F29" s="1"/>
  <c r="AV271" i="1"/>
  <c r="BC271"/>
  <c r="BC115"/>
  <c r="AV115"/>
  <c r="BC306"/>
  <c r="AV306"/>
  <c r="BC335"/>
  <c r="AV335"/>
  <c r="AV441"/>
  <c r="BC441"/>
  <c r="BC457"/>
  <c r="AV457"/>
  <c r="AG445"/>
  <c r="AC445"/>
  <c r="AE445"/>
  <c r="BC120"/>
  <c r="AV120"/>
  <c r="AC279"/>
  <c r="AG279"/>
  <c r="AE279"/>
  <c r="AC304"/>
  <c r="AG304"/>
  <c r="AE304"/>
  <c r="AV430"/>
  <c r="BC430"/>
  <c r="BC191"/>
  <c r="AV191"/>
  <c r="AC33"/>
  <c r="AG33"/>
  <c r="AE33"/>
  <c r="AG35"/>
  <c r="AE35"/>
  <c r="AC35"/>
  <c r="AV289"/>
  <c r="BC289"/>
  <c r="AC68"/>
  <c r="AG68"/>
  <c r="AE68"/>
  <c r="AV172"/>
  <c r="BC172"/>
  <c r="AB194"/>
  <c r="AF194"/>
  <c r="AD194"/>
  <c r="AE453"/>
  <c r="AC453"/>
  <c r="AG453"/>
  <c r="BC462"/>
  <c r="AV462"/>
  <c r="BC351"/>
  <c r="AV351"/>
  <c r="BC22"/>
  <c r="C28" i="2"/>
  <c r="F28" s="1"/>
  <c r="H193" i="1"/>
  <c r="AT440"/>
  <c r="I163"/>
  <c r="BC38"/>
  <c r="AT163"/>
  <c r="BC194"/>
  <c r="AS27"/>
  <c r="AS137"/>
  <c r="AS184"/>
  <c r="BC287"/>
  <c r="AS163"/>
  <c r="BC341"/>
  <c r="AV359"/>
  <c r="BC359"/>
  <c r="BC443"/>
  <c r="AV443"/>
  <c r="AS12"/>
  <c r="C27" i="2"/>
  <c r="AF457" i="1"/>
  <c r="AB457"/>
  <c r="AD457"/>
  <c r="AV291"/>
  <c r="BC291"/>
  <c r="AF354"/>
  <c r="AD354"/>
  <c r="AB354"/>
  <c r="AE419"/>
  <c r="AG419"/>
  <c r="AC419"/>
  <c r="AV349"/>
  <c r="BC349"/>
  <c r="C20" i="2"/>
  <c r="AV168" i="1"/>
  <c r="BC118"/>
  <c r="AU37"/>
  <c r="AV33"/>
  <c r="BC381"/>
  <c r="BC35"/>
  <c r="AV35"/>
  <c r="AF239"/>
  <c r="AB239"/>
  <c r="AD239"/>
  <c r="AF80"/>
  <c r="AD80"/>
  <c r="AB80"/>
  <c r="BC80"/>
  <c r="AV80"/>
  <c r="AB72"/>
  <c r="C14" i="2" s="1"/>
  <c r="AF72" i="1"/>
  <c r="AD72"/>
  <c r="BC269"/>
  <c r="AV269"/>
  <c r="AV44"/>
  <c r="BC44"/>
  <c r="AF430"/>
  <c r="AB430"/>
  <c r="AD430"/>
  <c r="BC187"/>
  <c r="AV187"/>
  <c r="AU163"/>
  <c r="I37"/>
  <c r="H163"/>
  <c r="J463"/>
  <c r="AU353"/>
  <c r="I459"/>
  <c r="AG72"/>
  <c r="AE72"/>
  <c r="AC72"/>
  <c r="AG306"/>
  <c r="AC306"/>
  <c r="AE306"/>
  <c r="AG194"/>
  <c r="AC194"/>
  <c r="AE194"/>
  <c r="AV239"/>
  <c r="BC239"/>
  <c r="AV310"/>
  <c r="BC310"/>
  <c r="AC38"/>
  <c r="AG38"/>
  <c r="AE38"/>
  <c r="AG41"/>
  <c r="AE41"/>
  <c r="AC41"/>
  <c r="AV312"/>
  <c r="BC312"/>
  <c r="AC157"/>
  <c r="AG157"/>
  <c r="AE157"/>
  <c r="AC31"/>
  <c r="AG31"/>
  <c r="AE31"/>
  <c r="AB38"/>
  <c r="AF38"/>
  <c r="AD38"/>
  <c r="BC170"/>
  <c r="AV170"/>
  <c r="AB41"/>
  <c r="AF41"/>
  <c r="AD41"/>
  <c r="BC281"/>
  <c r="AV281"/>
  <c r="BC379"/>
  <c r="AV379"/>
  <c r="AG80"/>
  <c r="AE80"/>
  <c r="AC80"/>
  <c r="AB306"/>
  <c r="AD306"/>
  <c r="AF306"/>
  <c r="AG216"/>
  <c r="AC216"/>
  <c r="AE216"/>
  <c r="AV87"/>
  <c r="BC87"/>
  <c r="AC25"/>
  <c r="AE25"/>
  <c r="AG25"/>
  <c r="C19" i="2" s="1"/>
  <c r="AC182" i="1"/>
  <c r="AG182"/>
  <c r="AE182"/>
  <c r="AB182"/>
  <c r="AF182"/>
  <c r="AD182"/>
  <c r="AV123"/>
  <c r="BC123"/>
  <c r="BC41"/>
  <c r="AV41"/>
  <c r="C21" i="2"/>
  <c r="AV455" i="1"/>
  <c r="H37"/>
  <c r="I184"/>
  <c r="H334"/>
  <c r="AU329"/>
  <c r="AS459"/>
  <c r="BC308"/>
  <c r="BC388"/>
  <c r="I28" i="2" l="1"/>
  <c r="I29" s="1"/>
  <c r="C15"/>
  <c r="C22" s="1"/>
  <c r="C18"/>
</calcChain>
</file>

<file path=xl/sharedStrings.xml><?xml version="1.0" encoding="utf-8"?>
<sst xmlns="http://schemas.openxmlformats.org/spreadsheetml/2006/main" count="2174" uniqueCount="758">
  <si>
    <t>363,22+8,4271;EPS;</t>
  </si>
  <si>
    <t>92</t>
  </si>
  <si>
    <t>3;B14;</t>
  </si>
  <si>
    <t>0,6;O19;</t>
  </si>
  <si>
    <t>764312821R00</t>
  </si>
  <si>
    <t>Demontáž záklopů z hrubých prken tl. do 3,2 cm</t>
  </si>
  <si>
    <t>Doba výstavby:</t>
  </si>
  <si>
    <t>612100020RA0</t>
  </si>
  <si>
    <t>25;viz ostění;</t>
  </si>
  <si>
    <t>Projektant</t>
  </si>
  <si>
    <t>713131152R00</t>
  </si>
  <si>
    <t>67</t>
  </si>
  <si>
    <t>2+1+1+1+1+1+1+3+1+1+2+1+1+1+1+1+2+1+1+1+1;okna;</t>
  </si>
  <si>
    <t>Doplnění střešní vazby z hranolů do 120 cm2 vč.dod fošen 60 x 150 mm</t>
  </si>
  <si>
    <t>98+12-(3,4+1,4+1,7+1,4+3,4+2,9+1,2*2+2,9+1,7);JZ;</t>
  </si>
  <si>
    <t>Zatepl.syst., fasáda, miner.desky tl. 50 mm s omítkou Silikon</t>
  </si>
  <si>
    <t>Malby</t>
  </si>
  <si>
    <t>103</t>
  </si>
  <si>
    <t>105,73*0,1;prořez;</t>
  </si>
  <si>
    <t>20,5;viz vnitřní omítka;</t>
  </si>
  <si>
    <t>713111221RK2</t>
  </si>
  <si>
    <t>Příponka z TiZn plechu</t>
  </si>
  <si>
    <t>1,165;O14;</t>
  </si>
  <si>
    <t>611551254VD</t>
  </si>
  <si>
    <t>622311136RT3</t>
  </si>
  <si>
    <t>Demontáž záklopu šikmin</t>
  </si>
  <si>
    <t>8,4271*0,1;prořez;</t>
  </si>
  <si>
    <t>Okno plastové 900x1415mm - O9</t>
  </si>
  <si>
    <t>82;viz okenní lišta;</t>
  </si>
  <si>
    <t>1,47*1,15;B20;</t>
  </si>
  <si>
    <t>2;B1;</t>
  </si>
  <si>
    <t>91</t>
  </si>
  <si>
    <t>87</t>
  </si>
  <si>
    <t>Kamila Možná</t>
  </si>
  <si>
    <t>Oplechování zdí TiZn, rš. 800 mm</t>
  </si>
  <si>
    <t>Základ 21%</t>
  </si>
  <si>
    <t>20</t>
  </si>
  <si>
    <t>1;O2;</t>
  </si>
  <si>
    <t>0,3285*0,1;prořez;</t>
  </si>
  <si>
    <t>952901110R00</t>
  </si>
  <si>
    <t>Dodávka</t>
  </si>
  <si>
    <t>NUS celkem z obj.</t>
  </si>
  <si>
    <t>28*0,05;prořez;</t>
  </si>
  <si>
    <t>363,22*0,05;prořez;</t>
  </si>
  <si>
    <t>3_</t>
  </si>
  <si>
    <t>Malba klih.2x, 1bar.+strop,pačok 2x, míst. do 3,8m</t>
  </si>
  <si>
    <t>3,08172</t>
  </si>
  <si>
    <t>Začištění omítek kolem oken a dveří</t>
  </si>
  <si>
    <t>2,04;O10;</t>
  </si>
  <si>
    <t>46;viz zakrývání;</t>
  </si>
  <si>
    <t>0,535*3;O8;</t>
  </si>
  <si>
    <t>1,165;B16;</t>
  </si>
  <si>
    <t>Název stavby:</t>
  </si>
  <si>
    <t>Ostatní materiál</t>
  </si>
  <si>
    <t>0,6*0,52*2;B19;</t>
  </si>
  <si>
    <t>622401937R00</t>
  </si>
  <si>
    <t>622473187RT2</t>
  </si>
  <si>
    <t>612401391RV2</t>
  </si>
  <si>
    <t>Doplňky zatepl. systémů, rohová lišta s okapničkou</t>
  </si>
  <si>
    <t>48</t>
  </si>
  <si>
    <t>29</t>
  </si>
  <si>
    <t>0,93;O2;</t>
  </si>
  <si>
    <t>Č</t>
  </si>
  <si>
    <t>764</t>
  </si>
  <si>
    <t>941941191R00</t>
  </si>
  <si>
    <t>Bourání parapetů dřevěných š. do 50 cm</t>
  </si>
  <si>
    <t>Okno plastové 1470x1150mm - O18</t>
  </si>
  <si>
    <t>Čištění mytím vnějších ploch oken a dveří</t>
  </si>
  <si>
    <t>Poznámka:</t>
  </si>
  <si>
    <t>BYTOVÝ DŮM - ZATEPLENÍ A VÝMĚNA VÝPLNÍ</t>
  </si>
  <si>
    <t>Lokalita:</t>
  </si>
  <si>
    <t>79</t>
  </si>
  <si>
    <t>71</t>
  </si>
  <si>
    <t>1;O16;</t>
  </si>
  <si>
    <t>16</t>
  </si>
  <si>
    <t>PSV</t>
  </si>
  <si>
    <t>24</t>
  </si>
  <si>
    <t>Bez pevné podl.</t>
  </si>
  <si>
    <t>2,04*1,39+1,165*1,39+0,9*0,795+1,48*1,17+0,6*0,52*2+1,47*1,15</t>
  </si>
  <si>
    <t>Celkem</t>
  </si>
  <si>
    <t>Zařízení staveniště</t>
  </si>
  <si>
    <t>Příplatek za každý měsíc použití sítí k pol. 4011</t>
  </si>
  <si>
    <t>Okno plastové 2040x1390mm - O13</t>
  </si>
  <si>
    <t>1,14*2,09;B6;</t>
  </si>
  <si>
    <t>764230410RAA</t>
  </si>
  <si>
    <t>2,4;B9;</t>
  </si>
  <si>
    <t>766_</t>
  </si>
  <si>
    <t>Okno plastové 600x520mm - O17</t>
  </si>
  <si>
    <t>648991113RT4</t>
  </si>
  <si>
    <t>2,04;O13;</t>
  </si>
  <si>
    <t>622421492R00</t>
  </si>
  <si>
    <t>4</t>
  </si>
  <si>
    <t>97</t>
  </si>
  <si>
    <t>0,66*0,5;B23;</t>
  </si>
  <si>
    <t>94</t>
  </si>
  <si>
    <t>(15,2+1*2)*8+6*2,5;JZ;</t>
  </si>
  <si>
    <t>0,535*3;B11;</t>
  </si>
  <si>
    <t>944944081R00</t>
  </si>
  <si>
    <t>60</t>
  </si>
  <si>
    <t>Základní rozpočtové náklady</t>
  </si>
  <si>
    <t>26</t>
  </si>
  <si>
    <t>2;O17;</t>
  </si>
  <si>
    <t>6_</t>
  </si>
  <si>
    <t>762332931RT5</t>
  </si>
  <si>
    <t>105</t>
  </si>
  <si>
    <t>612481113R00</t>
  </si>
  <si>
    <t>48,535*0,05;prořez;</t>
  </si>
  <si>
    <t>93+5-(1,6+0,3*2+1,7+0,2);JV;</t>
  </si>
  <si>
    <t>Deska z minerální plsti ORSIK 1200 x 600 x 140 mm</t>
  </si>
  <si>
    <t>Konstrukce klempířské</t>
  </si>
  <si>
    <t>Vybourání plastových oken do 4 m2</t>
  </si>
  <si>
    <t>713100190RA0</t>
  </si>
  <si>
    <t>622311353RT3</t>
  </si>
  <si>
    <t>Celkem bez DPH</t>
  </si>
  <si>
    <t>Vedlejší a ostatní rozpočtové náklady</t>
  </si>
  <si>
    <t>Dveře plastové 850+405x1980mm - D3</t>
  </si>
  <si>
    <t>Očištění fasád tlakovou vodou</t>
  </si>
  <si>
    <t>Oplechování parapetů z Al plechu rš 500 mm</t>
  </si>
  <si>
    <t>14,24*5,6+4*2,5;B27;</t>
  </si>
  <si>
    <t>012VD_</t>
  </si>
  <si>
    <t>40;viz rohová lišta;</t>
  </si>
  <si>
    <t>622311130RT3</t>
  </si>
  <si>
    <t>1;B3;</t>
  </si>
  <si>
    <t>6</t>
  </si>
  <si>
    <t>Rozpočtové náklady v Kč</t>
  </si>
  <si>
    <t>68</t>
  </si>
  <si>
    <t>Omítka vnitřní zdiva, MVC, na pletivu, hladká</t>
  </si>
  <si>
    <t>81</t>
  </si>
  <si>
    <t>(0,81*4+0,545*2)*0,9;vstupy;</t>
  </si>
  <si>
    <t>81,767;viz okenní lišta;</t>
  </si>
  <si>
    <t>B</t>
  </si>
  <si>
    <t>Náklady na umístění stavby (NUS)</t>
  </si>
  <si>
    <t>648991113RT6</t>
  </si>
  <si>
    <t>Okno plastové 900x1600mm - O1</t>
  </si>
  <si>
    <t>42</t>
  </si>
  <si>
    <t>1;komplet;</t>
  </si>
  <si>
    <t>82</t>
  </si>
  <si>
    <t>1,5;O20;</t>
  </si>
  <si>
    <t>Montáž</t>
  </si>
  <si>
    <t>2,4;O6;</t>
  </si>
  <si>
    <t>Datum, razítko a podpis</t>
  </si>
  <si>
    <t>3;B11;</t>
  </si>
  <si>
    <t>ZRN celkem</t>
  </si>
  <si>
    <t>2;O11;</t>
  </si>
  <si>
    <t>498;viz montáž lešení;</t>
  </si>
  <si>
    <t>0,6*2;O17;</t>
  </si>
  <si>
    <t>0,6*2;B19;</t>
  </si>
  <si>
    <t>HUSOVA čp. 89, 43533 LOUKA U LITVÍNOVA</t>
  </si>
  <si>
    <t>762900080RA0</t>
  </si>
  <si>
    <t>012VD</t>
  </si>
  <si>
    <t>Odstranění násypů pod podlahami a na střechách</t>
  </si>
  <si>
    <t>Montáž dveří plastových</t>
  </si>
  <si>
    <t>69</t>
  </si>
  <si>
    <t>Zateplovací systém, parapet, XPS tl. 30 mm</t>
  </si>
  <si>
    <t>941955102R00</t>
  </si>
  <si>
    <t>(0,81*4+0,545*2)*2;vstupy;</t>
  </si>
  <si>
    <t>0,58;B2;</t>
  </si>
  <si>
    <t>11*9+3*3;SZ;</t>
  </si>
  <si>
    <t>33</t>
  </si>
  <si>
    <t>2,06*0,39+0,535*0,39*3+0,9*0,46+2,04*0,36+0,86*0,43*2</t>
  </si>
  <si>
    <t>979951111R00</t>
  </si>
  <si>
    <t>611551262VD</t>
  </si>
  <si>
    <t>1;O20;</t>
  </si>
  <si>
    <t>0,9;B17;</t>
  </si>
  <si>
    <t>78</t>
  </si>
  <si>
    <t>2,435*1,41;B5;</t>
  </si>
  <si>
    <t>766629302R00</t>
  </si>
  <si>
    <t>Krycí list slepého rozpočtu</t>
  </si>
  <si>
    <t>63</t>
  </si>
  <si>
    <t>3;B9;</t>
  </si>
  <si>
    <t>Deska z minerální plsti ORSIK 1200 x 600 x 180 mm</t>
  </si>
  <si>
    <t>Dveře plastové 910x1760mm - D1</t>
  </si>
  <si>
    <t>63151378.A</t>
  </si>
  <si>
    <t>Stěny a příčky</t>
  </si>
  <si>
    <t>Vyvěšení plastových okenních křídel pl. nad 1,5 m2</t>
  </si>
  <si>
    <t>Napojení na oplech. zdí, PVC profilem s tkaninou</t>
  </si>
  <si>
    <t>122;viz příplatek;</t>
  </si>
  <si>
    <t>764212621R00</t>
  </si>
  <si>
    <t>31,78*0,1;prořez;</t>
  </si>
  <si>
    <t>19,97482*19;odvoz celkem do 20km;</t>
  </si>
  <si>
    <t>Základna</t>
  </si>
  <si>
    <t>25</t>
  </si>
  <si>
    <t>kus</t>
  </si>
  <si>
    <t>svody, zděře</t>
  </si>
  <si>
    <t>(15,2+1*2)*7,5;SV;</t>
  </si>
  <si>
    <t>2,04*1,39;B15;</t>
  </si>
  <si>
    <t>Dodávky</t>
  </si>
  <si>
    <t>418,4013;viz očištění tlakovou vodou;</t>
  </si>
  <si>
    <t>soustava</t>
  </si>
  <si>
    <t>Zateplovací systém, fasáda, EPS F tl.180 mm s omítkou Silikon</t>
  </si>
  <si>
    <t>(1,415*3+1,39+1,39+0,795+1,17+0,52*2+1,15+0,5+1,14+0,5+0,45*2)*2</t>
  </si>
  <si>
    <t>1;B7;</t>
  </si>
  <si>
    <t>Ostatní mat.</t>
  </si>
  <si>
    <t>Okno plastové 535x790mm - O8</t>
  </si>
  <si>
    <t>622422111R00</t>
  </si>
  <si>
    <t>18,657*1,1;prořez;</t>
  </si>
  <si>
    <t>B31-mřížky</t>
  </si>
  <si>
    <t>Cenová</t>
  </si>
  <si>
    <t>Okno plastové 860x1415mm - O11</t>
  </si>
  <si>
    <t>28;P2;</t>
  </si>
  <si>
    <t>2;B20;</t>
  </si>
  <si>
    <t>1+1+1;dveře;</t>
  </si>
  <si>
    <t>Montáž parozábrany, zavěšeného podhledu s přelepením spojů včetně dodávky</t>
  </si>
  <si>
    <t>20,5;viz tepelná izolace stěny k půdě;</t>
  </si>
  <si>
    <t>2,06*1,4;B10;</t>
  </si>
  <si>
    <t>1,5*7*1,96;pásovina 10/25 v krovu;</t>
  </si>
  <si>
    <t>Demontáž a zpětná montáž prvků na fasádě (viz poznámka)</t>
  </si>
  <si>
    <t>0,9*2;O1;</t>
  </si>
  <si>
    <t>HSV prac</t>
  </si>
  <si>
    <t>767_</t>
  </si>
  <si>
    <t>1,165*1,39;B16;</t>
  </si>
  <si>
    <t>36,585*0,1;prořez;</t>
  </si>
  <si>
    <t>0,6*0,5;B21;</t>
  </si>
  <si>
    <t>13</t>
  </si>
  <si>
    <t>1;O4;</t>
  </si>
  <si>
    <t>2,6+1,2+2,2;JZ;</t>
  </si>
  <si>
    <t>13,35-(1,14+1,255)*0,9-1,42*0,365+0,5;JZ;</t>
  </si>
  <si>
    <t>"M"</t>
  </si>
  <si>
    <t>Konstrukce doplňkové stavební (zámečnické)</t>
  </si>
  <si>
    <t>VORN celkem z obj.</t>
  </si>
  <si>
    <t>Okno plastové 600x500mm - O19</t>
  </si>
  <si>
    <t>-0,5*3;elektro+plyn;</t>
  </si>
  <si>
    <t>14.11.2023</t>
  </si>
  <si>
    <t>0,91*1,76;B3;</t>
  </si>
  <si>
    <t>Cena/MJ</t>
  </si>
  <si>
    <t>622461971R00</t>
  </si>
  <si>
    <t>Konec výstavby:</t>
  </si>
  <si>
    <t>622481113R00</t>
  </si>
  <si>
    <t>nátěr mříží, zpětné osazení svodů s úpravou zděří</t>
  </si>
  <si>
    <t>2,04;B13;</t>
  </si>
  <si>
    <t>Kód</t>
  </si>
  <si>
    <t>S</t>
  </si>
  <si>
    <t>43</t>
  </si>
  <si>
    <t>0,91*1,76+1,14*2,09+1,255*1,98;dveře;</t>
  </si>
  <si>
    <t>0,81*4+0,545*2;vstupy;</t>
  </si>
  <si>
    <t>Poplatek za uložení suti - plast + sklo, skupina odpadu 170904</t>
  </si>
  <si>
    <t>0,8*1,3*2;P4;</t>
  </si>
  <si>
    <t>1,5;B22;</t>
  </si>
  <si>
    <t>Ostatní přesuny hmot</t>
  </si>
  <si>
    <t>Demontáž lešení leh.řad.s podlahami,š.1 m, H 10 m</t>
  </si>
  <si>
    <t>611551256VD</t>
  </si>
  <si>
    <t>3;B5;</t>
  </si>
  <si>
    <t>MJ</t>
  </si>
  <si>
    <t>622421491R00</t>
  </si>
  <si>
    <t>90*2;podlaha půdy ve 2 vrstvách;</t>
  </si>
  <si>
    <t>45</t>
  </si>
  <si>
    <t>40</t>
  </si>
  <si>
    <t>764530430R00</t>
  </si>
  <si>
    <t>612421728R00</t>
  </si>
  <si>
    <t>Izolace tepelné volně položené</t>
  </si>
  <si>
    <t>944944011R00</t>
  </si>
  <si>
    <t>9_</t>
  </si>
  <si>
    <t>Celkem ORN</t>
  </si>
  <si>
    <t>611551261VD</t>
  </si>
  <si>
    <t>Doplňkové náklady</t>
  </si>
  <si>
    <t>Doplňky zatepl. systémů, podparapetní lišta s tkan</t>
  </si>
  <si>
    <t>1;B23;</t>
  </si>
  <si>
    <t>PSV prac</t>
  </si>
  <si>
    <t>HSV</t>
  </si>
  <si>
    <t>1;O10;</t>
  </si>
  <si>
    <t>0,86*3+2,04+1,165+0,9+1,48+0,6*2+1,47+0,6+1,5+0,66+0,45*2</t>
  </si>
  <si>
    <t>979990161R00</t>
  </si>
  <si>
    <t>Vedlejší rozpočtové náklady VRN</t>
  </si>
  <si>
    <t>0,86*1,415*3;B14;</t>
  </si>
  <si>
    <t>9</t>
  </si>
  <si>
    <t>19,97482</t>
  </si>
  <si>
    <t>622904112R00</t>
  </si>
  <si>
    <t>104</t>
  </si>
  <si>
    <t>(1,76+2,09+1,98)*2;dveře;</t>
  </si>
  <si>
    <t>15</t>
  </si>
  <si>
    <t>10;SZ;</t>
  </si>
  <si>
    <t>762520020RAA</t>
  </si>
  <si>
    <t>1,3*0,8*2;B26;</t>
  </si>
  <si>
    <t>1,47;B20;</t>
  </si>
  <si>
    <t>95</t>
  </si>
  <si>
    <t>1;B12;</t>
  </si>
  <si>
    <t>ISWORK</t>
  </si>
  <si>
    <t>Celkem včetně DPH</t>
  </si>
  <si>
    <t>Celkem NUS</t>
  </si>
  <si>
    <t>999281108R00</t>
  </si>
  <si>
    <t>74,47*0,1;prořez;</t>
  </si>
  <si>
    <t>Základ 0%</t>
  </si>
  <si>
    <t>S_</t>
  </si>
  <si>
    <t>Montáž ochranné sítě z umělých vláken</t>
  </si>
  <si>
    <t>766</t>
  </si>
  <si>
    <t>52</t>
  </si>
  <si>
    <t>Příplatek za každý měsíc použití lešení k pol.1031</t>
  </si>
  <si>
    <t>Vodorovné přemístění vyb. hmot nošením do 10 m</t>
  </si>
  <si>
    <t>100*1,05;prořez;</t>
  </si>
  <si>
    <t>51</t>
  </si>
  <si>
    <t>611551241VD</t>
  </si>
  <si>
    <t>Přesuny sutí</t>
  </si>
  <si>
    <t>1;O19;</t>
  </si>
  <si>
    <t>Mont prac</t>
  </si>
  <si>
    <t>11,74245*0,1;prořez;</t>
  </si>
  <si>
    <t>44</t>
  </si>
  <si>
    <t>Okno plastové 660x500mm - O21</t>
  </si>
  <si>
    <t>012111113VD</t>
  </si>
  <si>
    <t>1,42;O5;</t>
  </si>
  <si>
    <t>622311854RT3</t>
  </si>
  <si>
    <t>Příplatek k odvozu za každý další 1 km</t>
  </si>
  <si>
    <t>1,66992</t>
  </si>
  <si>
    <t>78_</t>
  </si>
  <si>
    <t>Osazení parapet.desek lamin. š.nad 20cm včetně dodávky š. 500 mm</t>
  </si>
  <si>
    <t>Okno plastové 2400x1425mm - O6</t>
  </si>
  <si>
    <t>Malba disperzní interiér.HET Klasik,výška do 3,8 m</t>
  </si>
  <si>
    <t>Hromosvod (demontáž, zpětná montáž, příp. výměna lan, revize)</t>
  </si>
  <si>
    <t>0,45*2;B24;</t>
  </si>
  <si>
    <t>Oprava vnějších omítek vápen. hladk. II, do 10 % - předpoklad</t>
  </si>
  <si>
    <t>20,5;viz potažení;</t>
  </si>
  <si>
    <t>62_</t>
  </si>
  <si>
    <t>1;D2;</t>
  </si>
  <si>
    <t>23</t>
  </si>
  <si>
    <t>RTS II / 2023</t>
  </si>
  <si>
    <t>767</t>
  </si>
  <si>
    <t>((15,2+10,72)*2-(1,14+1,255+0,91))*2;fasáda;</t>
  </si>
  <si>
    <t>611551252VD</t>
  </si>
  <si>
    <t>59</t>
  </si>
  <si>
    <t>611551257VD</t>
  </si>
  <si>
    <t>941941031R00</t>
  </si>
  <si>
    <t>622311563R00</t>
  </si>
  <si>
    <t>109</t>
  </si>
  <si>
    <t>t</t>
  </si>
  <si>
    <t>117</t>
  </si>
  <si>
    <t>Okno plastové 580x800mm - O2</t>
  </si>
  <si>
    <t>713111130R00</t>
  </si>
  <si>
    <t> </t>
  </si>
  <si>
    <t>53</t>
  </si>
  <si>
    <t>22,391*0,1;prořez;</t>
  </si>
  <si>
    <t>Konstrukce truhlářské</t>
  </si>
  <si>
    <t>99</t>
  </si>
  <si>
    <t>0,86*3;B14;</t>
  </si>
  <si>
    <t>1,22;O12;</t>
  </si>
  <si>
    <t>107</t>
  </si>
  <si>
    <t>1,42;B7;</t>
  </si>
  <si>
    <t>Vybourání plastových oken do 2 m2</t>
  </si>
  <si>
    <t>1;O12;</t>
  </si>
  <si>
    <t>JKSO:</t>
  </si>
  <si>
    <t>Okno plastové 2040x1400mm - O10</t>
  </si>
  <si>
    <t>85</t>
  </si>
  <si>
    <t>64</t>
  </si>
  <si>
    <t>vrn</t>
  </si>
  <si>
    <t>622311730RT3</t>
  </si>
  <si>
    <t>0,86;O12;</t>
  </si>
  <si>
    <t>Poplatek za uložení, zemina a kamení, (skup.170504) - násyp</t>
  </si>
  <si>
    <t>611551259VD</t>
  </si>
  <si>
    <t>12;podkroví;</t>
  </si>
  <si>
    <t>1,5*1,14;B22;</t>
  </si>
  <si>
    <t>Demontáž oplechování parapetů</t>
  </si>
  <si>
    <t>100*1,2;prořez;</t>
  </si>
  <si>
    <t>100*1,05;viz odstranění záklopu x prořez;</t>
  </si>
  <si>
    <t>Oplechování návaznosti zateplení z Ti Zn plechu, rš 400 mm</t>
  </si>
  <si>
    <t>764900050RA0</t>
  </si>
  <si>
    <t>968083012R00</t>
  </si>
  <si>
    <t>622319016R00</t>
  </si>
  <si>
    <t>14,24*4*2-6*2,5;B30;</t>
  </si>
  <si>
    <t>Montáž rozliš. lišty pro přechod dvou barev omítky včetně dodávky</t>
  </si>
  <si>
    <t>77</t>
  </si>
  <si>
    <t>611551263VD</t>
  </si>
  <si>
    <t>012111114VD</t>
  </si>
  <si>
    <t>Osazení parapet.desek lamin. š.nad 20cm včetně dodávky š. 350 mm</t>
  </si>
  <si>
    <t>DN celkem</t>
  </si>
  <si>
    <t>H99_</t>
  </si>
  <si>
    <t>012111111VD</t>
  </si>
  <si>
    <t>001001109VD</t>
  </si>
  <si>
    <t>14*2;P2;</t>
  </si>
  <si>
    <t>611551258VD</t>
  </si>
  <si>
    <t>116</t>
  </si>
  <si>
    <t>GROUPCODE</t>
  </si>
  <si>
    <t>944944031R00</t>
  </si>
  <si>
    <t>0</t>
  </si>
  <si>
    <t>Provozní vlivy</t>
  </si>
  <si>
    <t>5</t>
  </si>
  <si>
    <t>76_</t>
  </si>
  <si>
    <t>620991121R00</t>
  </si>
  <si>
    <t>Podlaha v krovu z prken včetně ztužení</t>
  </si>
  <si>
    <t>Druh stavby:</t>
  </si>
  <si>
    <t>952901411R00</t>
  </si>
  <si>
    <t>622311736RU4</t>
  </si>
  <si>
    <t>784</t>
  </si>
  <si>
    <t>648991113RT3</t>
  </si>
  <si>
    <t>622300159R00</t>
  </si>
  <si>
    <t>96</t>
  </si>
  <si>
    <t>Zpracováno dne:</t>
  </si>
  <si>
    <t>0,86*0,43+2,04*0,35+1,165*0,36+0,9*0,31+1,48*0,36</t>
  </si>
  <si>
    <t>15,12</t>
  </si>
  <si>
    <t>2,435;B5;</t>
  </si>
  <si>
    <t>1;O5;</t>
  </si>
  <si>
    <t>3;B15;</t>
  </si>
  <si>
    <t>0,6*0,31*2+1,47*0,31+0,6*0,31+1,5*0,31+0,66*0,31</t>
  </si>
  <si>
    <t>1;B17;</t>
  </si>
  <si>
    <t>7,44*2,3-0,8*1,95+2,7*2,3/2;stěna k půdě;</t>
  </si>
  <si>
    <t>12-0,91*0,9;SV;</t>
  </si>
  <si>
    <t>10</t>
  </si>
  <si>
    <t>498;viz montáž;</t>
  </si>
  <si>
    <t>58</t>
  </si>
  <si>
    <t>611551249VD</t>
  </si>
  <si>
    <t>36</t>
  </si>
  <si>
    <t>611551244VD</t>
  </si>
  <si>
    <t>14</t>
  </si>
  <si>
    <t>968083003R00</t>
  </si>
  <si>
    <t>611551247VD</t>
  </si>
  <si>
    <t>31</t>
  </si>
  <si>
    <t>84</t>
  </si>
  <si>
    <t>1;O14;</t>
  </si>
  <si>
    <t>Množství</t>
  </si>
  <si>
    <t>38</t>
  </si>
  <si>
    <t>Všeobecné konstrukce a práce</t>
  </si>
  <si>
    <t>1;D1;</t>
  </si>
  <si>
    <t>VORN celkem</t>
  </si>
  <si>
    <t>Omítka malých ploch vnitřních stěn do 1 m2 včetně malby</t>
  </si>
  <si>
    <t>2;B6;</t>
  </si>
  <si>
    <t>001111131VD</t>
  </si>
  <si>
    <t>Příplatek za okenní lištu (APU) - montáž včetně dodávky lišty</t>
  </si>
  <si>
    <t>95_</t>
  </si>
  <si>
    <t>Typ skupiny</t>
  </si>
  <si>
    <t>73</t>
  </si>
  <si>
    <t>979990163R00</t>
  </si>
  <si>
    <t>B28-mříže</t>
  </si>
  <si>
    <t>2;B22;</t>
  </si>
  <si>
    <t>762</t>
  </si>
  <si>
    <t>90*1,05;prořez;</t>
  </si>
  <si>
    <t>63151376.A</t>
  </si>
  <si>
    <t>2,06;O7;</t>
  </si>
  <si>
    <t>979086213R00</t>
  </si>
  <si>
    <t>762_</t>
  </si>
  <si>
    <t>784442001R00</t>
  </si>
  <si>
    <t>Soklová lišta hliník KZS tl. 180 mm</t>
  </si>
  <si>
    <t>61_</t>
  </si>
  <si>
    <t>56</t>
  </si>
  <si>
    <t>622311011R00</t>
  </si>
  <si>
    <t>19</t>
  </si>
  <si>
    <t>C</t>
  </si>
  <si>
    <t>622421494R00</t>
  </si>
  <si>
    <t>Omítka stěn marmolit</t>
  </si>
  <si>
    <t>Náklady (Kč)</t>
  </si>
  <si>
    <t>100;viz podhled;</t>
  </si>
  <si>
    <t>110</t>
  </si>
  <si>
    <t>0,9*1,6*2;B1;</t>
  </si>
  <si>
    <t>39</t>
  </si>
  <si>
    <t>30</t>
  </si>
  <si>
    <t>2;O1;</t>
  </si>
  <si>
    <t>IČO/DIČ:</t>
  </si>
  <si>
    <t>Technický dozor investora</t>
  </si>
  <si>
    <t>Ostatní</t>
  </si>
  <si>
    <t>Zatepl.syst., fasáda, miner.desky tl. 180 mm s omítkou Silikon</t>
  </si>
  <si>
    <t>86</t>
  </si>
  <si>
    <t>4,33*0,05;prořez;</t>
  </si>
  <si>
    <t>979081121R00</t>
  </si>
  <si>
    <t>55</t>
  </si>
  <si>
    <t>Lešení lehké pomocné,schodiště, H podlahy do 3,5 m</t>
  </si>
  <si>
    <t>0,9*0,795;B17;</t>
  </si>
  <si>
    <t>Zpracoval:</t>
  </si>
  <si>
    <t>76</t>
  </si>
  <si>
    <t>2,06*1,4+0,535*0,790*3+0,9*1,414+2,04*1,4+0,86*1,415*3</t>
  </si>
  <si>
    <t>0,365*0,45*2;JZ;</t>
  </si>
  <si>
    <t>Doplňky zatepl. systémů, okenní lišta s tkaninou</t>
  </si>
  <si>
    <t>965200021RA0</t>
  </si>
  <si>
    <t>64_</t>
  </si>
  <si>
    <t>1;D3;</t>
  </si>
  <si>
    <t>Zhotovitel</t>
  </si>
  <si>
    <t>611551245VD</t>
  </si>
  <si>
    <t>2,26;O7;</t>
  </si>
  <si>
    <t>611551242VD</t>
  </si>
  <si>
    <t>3;B13;</t>
  </si>
  <si>
    <t>2</t>
  </si>
  <si>
    <t>Projektant:</t>
  </si>
  <si>
    <t>demontáž a zpětná montáž včetně úpravy kotvení</t>
  </si>
  <si>
    <t>611551251VD</t>
  </si>
  <si>
    <t/>
  </si>
  <si>
    <t>0,66;O21;</t>
  </si>
  <si>
    <t>1,225*1,98;B8;</t>
  </si>
  <si>
    <t>766629303R00</t>
  </si>
  <si>
    <t>17</t>
  </si>
  <si>
    <t>100*2;viz demontáž záklopu - izolace ve 2 vrstvách;</t>
  </si>
  <si>
    <t>784433271R00</t>
  </si>
  <si>
    <t>1;O13;</t>
  </si>
  <si>
    <t>98</t>
  </si>
  <si>
    <t>Zateplovací systém, fasáda, EPS F tl. 50 mm s omítkou Silikon</t>
  </si>
  <si>
    <t>112</t>
  </si>
  <si>
    <t>Lešení a stavební výtahy</t>
  </si>
  <si>
    <t>21</t>
  </si>
  <si>
    <t>34_</t>
  </si>
  <si>
    <t>713141221RK3</t>
  </si>
  <si>
    <t>3;B10;</t>
  </si>
  <si>
    <t>979081111R00</t>
  </si>
  <si>
    <t>Úprava povrchů vnitřní</t>
  </si>
  <si>
    <t>0,91+1,14+1,255;dveře;</t>
  </si>
  <si>
    <t>Práce přesčas</t>
  </si>
  <si>
    <t>968083001R00</t>
  </si>
  <si>
    <t>2,74;O13;</t>
  </si>
  <si>
    <t>0,8*5;P3;</t>
  </si>
  <si>
    <t>61</t>
  </si>
  <si>
    <t>Atypické ocelové konstrukce - montáž a dodávka</t>
  </si>
  <si>
    <t>1;O15;</t>
  </si>
  <si>
    <t>979017112R00</t>
  </si>
  <si>
    <t>1;O18;</t>
  </si>
  <si>
    <t>12</t>
  </si>
  <si>
    <t>1;O7;</t>
  </si>
  <si>
    <t>611551253VD</t>
  </si>
  <si>
    <t>611551246VD</t>
  </si>
  <si>
    <t>Kulturní památka</t>
  </si>
  <si>
    <t>2;B8;</t>
  </si>
  <si>
    <t>Odvoz suti a vybour. hmot na skládku do 1 km</t>
  </si>
  <si>
    <t>Různé dokončovací konstrukce a práce na pozemních stavbách</t>
  </si>
  <si>
    <t>Bourání konstrukcí</t>
  </si>
  <si>
    <t>kompl</t>
  </si>
  <si>
    <t>40,2435;viz rohová lišta;</t>
  </si>
  <si>
    <t>968083011R00</t>
  </si>
  <si>
    <t>DPH 21%</t>
  </si>
  <si>
    <t>3,897*0,1;prořez;</t>
  </si>
  <si>
    <t>Nakládání vybouraných hmot na dopravní prostředek</t>
  </si>
  <si>
    <t>968061125R00</t>
  </si>
  <si>
    <t>0,9;O9;</t>
  </si>
  <si>
    <t>611551240VD</t>
  </si>
  <si>
    <t>766629301R00</t>
  </si>
  <si>
    <t>611551248VD</t>
  </si>
  <si>
    <t>2;B18;</t>
  </si>
  <si>
    <t>_</t>
  </si>
  <si>
    <t>Vyčištění podahy krovu</t>
  </si>
  <si>
    <t>Podhled zavěšený z desek SDK, ocel. nosná kce, deska standard 12,5 mm, omítka</t>
  </si>
  <si>
    <t>49</t>
  </si>
  <si>
    <t>72</t>
  </si>
  <si>
    <t>713_</t>
  </si>
  <si>
    <t>Okno plastové 860x1415mm - O12</t>
  </si>
  <si>
    <t>968061113R00</t>
  </si>
  <si>
    <t>Přesuny</t>
  </si>
  <si>
    <t>MAT</t>
  </si>
  <si>
    <t>70</t>
  </si>
  <si>
    <t>8</t>
  </si>
  <si>
    <t>Celkem:</t>
  </si>
  <si>
    <t>Osazení parapet.desek lamin. š.nad 20cm včetně dodávky š. 300 mm</t>
  </si>
  <si>
    <t>Mimostav. doprava</t>
  </si>
  <si>
    <t>0,5*3;elektro+plyn;</t>
  </si>
  <si>
    <t>18</t>
  </si>
  <si>
    <t>DN celkem z obj.</t>
  </si>
  <si>
    <t>46</t>
  </si>
  <si>
    <t>764_</t>
  </si>
  <si>
    <t>713</t>
  </si>
  <si>
    <t>2,045;B4;</t>
  </si>
  <si>
    <t>0,39*2*1,4+0,39*0,79*3+0,46*1,415+0,31*2*0,795;SV;</t>
  </si>
  <si>
    <t>0,81*4*(1,235+1,08);vstupy JZ;</t>
  </si>
  <si>
    <t>31,78;viz parapety;</t>
  </si>
  <si>
    <t>Příplatek za styk 2 odstínů tenkovrstvých omítek</t>
  </si>
  <si>
    <t>2,04;B15;</t>
  </si>
  <si>
    <t>1,48*1,17;B18;</t>
  </si>
  <si>
    <t>;okna;</t>
  </si>
  <si>
    <t>Potažení vnějších stěn sklotex. pletivem, vypnutí</t>
  </si>
  <si>
    <t>71_</t>
  </si>
  <si>
    <t>Úprava povrchů vnější</t>
  </si>
  <si>
    <t>100</t>
  </si>
  <si>
    <t>Okno plastové1480x1170mm - O16</t>
  </si>
  <si>
    <t>108</t>
  </si>
  <si>
    <t>0,9*0,46+0,58*0,46+2,045*0,46+2,435*0,46+1,42*0,46+2,4*0,43</t>
  </si>
  <si>
    <t>50</t>
  </si>
  <si>
    <t>Montáž oken plastových plochy do 1,50 m2</t>
  </si>
  <si>
    <t>m</t>
  </si>
  <si>
    <t>968061112R00</t>
  </si>
  <si>
    <t>11</t>
  </si>
  <si>
    <t>90;podlaha v krovu;</t>
  </si>
  <si>
    <t>Základ 12%</t>
  </si>
  <si>
    <t>32</t>
  </si>
  <si>
    <t>2;B19;</t>
  </si>
  <si>
    <t>1;B2;</t>
  </si>
  <si>
    <t>Zatepl.syst. ostění, miner.desky tl. 30 mm</t>
  </si>
  <si>
    <t>Objednatel:</t>
  </si>
  <si>
    <t>Potažení vnitř. stěn sklotex. pletivem s vypnutím</t>
  </si>
  <si>
    <t>968083002R00</t>
  </si>
  <si>
    <t>PSV mat</t>
  </si>
  <si>
    <t>Vybourání plastových oken do 1 m2</t>
  </si>
  <si>
    <t>0,36*2*1,4+0,43*2*1,415*3+0,35*2*1,39+0,36*2*1,17;JZ;</t>
  </si>
  <si>
    <t>122*0,1;viz styk barev x šířka 10cm;</t>
  </si>
  <si>
    <t>Izolace tepelné</t>
  </si>
  <si>
    <t>1;O9;</t>
  </si>
  <si>
    <t>42,8572+3,897;minerální vlna;</t>
  </si>
  <si>
    <t>Obec Louka u Litvínova</t>
  </si>
  <si>
    <t>3</t>
  </si>
  <si>
    <t>63151375.A</t>
  </si>
  <si>
    <t>767990010RA0</t>
  </si>
  <si>
    <t>766629304R00</t>
  </si>
  <si>
    <t>102</t>
  </si>
  <si>
    <t>968095002R00</t>
  </si>
  <si>
    <t>Zhotovitel:</t>
  </si>
  <si>
    <t>42,8572*0,05;prořez;</t>
  </si>
  <si>
    <t>0,8*5;B25;</t>
  </si>
  <si>
    <t>%</t>
  </si>
  <si>
    <t>96_</t>
  </si>
  <si>
    <t>0,58;O2;</t>
  </si>
  <si>
    <t>0_</t>
  </si>
  <si>
    <t>Příplatek za každou další barvu</t>
  </si>
  <si>
    <t>0,46*2*1,145+0,46*2*1,235+0,46*2*1,425</t>
  </si>
  <si>
    <t>784_</t>
  </si>
  <si>
    <t>35</t>
  </si>
  <si>
    <t>Začátek výstavby:</t>
  </si>
  <si>
    <t>Okno plastové 900x795mm - O15</t>
  </si>
  <si>
    <t>Soklová lišta hliník KZS tl. 50 mm</t>
  </si>
  <si>
    <t>762811811R00</t>
  </si>
  <si>
    <t>Montáž lešení leh.řad.s podlahami,š.do 1 m, H 10 m</t>
  </si>
  <si>
    <t>0,45*2;P1;</t>
  </si>
  <si>
    <t>A</t>
  </si>
  <si>
    <t>CHEMINVEST  s.r.o.</t>
  </si>
  <si>
    <t>Svislé přemístění vyb. hmot nošením na H do 3,5 m</t>
  </si>
  <si>
    <t>622432112R00</t>
  </si>
  <si>
    <t>5;lávka;</t>
  </si>
  <si>
    <t>Mont mat</t>
  </si>
  <si>
    <t>2,06;B10;</t>
  </si>
  <si>
    <t>10+0,5;JV;</t>
  </si>
  <si>
    <t>Vybourání plastových dveří prosklených pl. do 2 m2</t>
  </si>
  <si>
    <t>Dveře plastové 725+415x2090mm - D2</t>
  </si>
  <si>
    <t>Slepý stavební rozpočet</t>
  </si>
  <si>
    <t>93</t>
  </si>
  <si>
    <t>1;O21;</t>
  </si>
  <si>
    <t>Montáž izolace stěn, na tmel a hmoždinky, cihla plná</t>
  </si>
  <si>
    <t>101</t>
  </si>
  <si>
    <t>2,045;O3;</t>
  </si>
  <si>
    <t>75</t>
  </si>
  <si>
    <t>54</t>
  </si>
  <si>
    <t>Zakrývání výplní vnějších otvorů z lešení</t>
  </si>
  <si>
    <t>98-(2,8+0,8+0,5+1,44*2+1,3+0,4*3+0,6+2,9);SV;</t>
  </si>
  <si>
    <t xml:space="preserve"> </t>
  </si>
  <si>
    <t>Okno plastové 1420x1600mm - O5</t>
  </si>
  <si>
    <t>0,535*0,79*3;B11;</t>
  </si>
  <si>
    <t>1;O6;</t>
  </si>
  <si>
    <t>Poplatek za uložení - dřevo, skupina odpadu 170201</t>
  </si>
  <si>
    <t>Okno plastové 1165x1390mm - O14</t>
  </si>
  <si>
    <t>kg</t>
  </si>
  <si>
    <t>Objednatel</t>
  </si>
  <si>
    <t>57</t>
  </si>
  <si>
    <t>(Kč)</t>
  </si>
  <si>
    <t>622319054R00</t>
  </si>
  <si>
    <t>Deska z minerální plsti ORSIK 1200 x 600 x 120 mm</t>
  </si>
  <si>
    <t>Montáž parozábrany včetně dodávky</t>
  </si>
  <si>
    <t>D.1.1.    ARCHITEKTONICKO-STAVEBNÍ ŘEŠENÍ</t>
  </si>
  <si>
    <t>968095001R00</t>
  </si>
  <si>
    <t>22</t>
  </si>
  <si>
    <t>-(1,76+2,09+1,98)*2;dveře;</t>
  </si>
  <si>
    <t>0,9;O15;</t>
  </si>
  <si>
    <t>Okno plastové 1500x1140mm - O20</t>
  </si>
  <si>
    <t>1,47;O18;</t>
  </si>
  <si>
    <t>0,66;B23;</t>
  </si>
  <si>
    <t>115</t>
  </si>
  <si>
    <t>Územní vlivy</t>
  </si>
  <si>
    <t>Montáž oken plastových plochy do 4,50 m2</t>
  </si>
  <si>
    <t>m3</t>
  </si>
  <si>
    <t>DPH 12%</t>
  </si>
  <si>
    <t>0,36*2*1,39+0,31*2*0,52*2+0,31*2*1,15+0,31*2*0,45;JV;</t>
  </si>
  <si>
    <t>498*3;předpoklad 3 měsíce;</t>
  </si>
  <si>
    <t>Datum:</t>
  </si>
  <si>
    <t>611551260VD</t>
  </si>
  <si>
    <t>27</t>
  </si>
  <si>
    <t>0,4;zaokrouhlení;</t>
  </si>
  <si>
    <t>0,86*2;O11;</t>
  </si>
  <si>
    <t>37</t>
  </si>
  <si>
    <t>80</t>
  </si>
  <si>
    <t>m2</t>
  </si>
  <si>
    <t>41</t>
  </si>
  <si>
    <t>122;viz lišty;</t>
  </si>
  <si>
    <t>Přesun hmot a sutí</t>
  </si>
  <si>
    <t>NUS z rozpočtu</t>
  </si>
  <si>
    <t>Okno plastové 2435x1410mm - O4</t>
  </si>
  <si>
    <t>(0,81*4+0,545*2)*0,5;vstupy;</t>
  </si>
  <si>
    <t>1</t>
  </si>
  <si>
    <t>Demontáž oplechování zdí</t>
  </si>
  <si>
    <t>11*9+3*3;JV;</t>
  </si>
  <si>
    <t>1,235*2;O1;</t>
  </si>
  <si>
    <t>7</t>
  </si>
  <si>
    <t>2,045*1,415;B4;</t>
  </si>
  <si>
    <t>1,5;elektro+plyn;</t>
  </si>
  <si>
    <t>979999973R00</t>
  </si>
  <si>
    <t>Rozměry</t>
  </si>
  <si>
    <t>2,04*1,4;B13;</t>
  </si>
  <si>
    <t>74</t>
  </si>
  <si>
    <t>Výkup kovů - železný šrot tl. do 4 mm</t>
  </si>
  <si>
    <t>2,435;O4;</t>
  </si>
  <si>
    <t>Položek:</t>
  </si>
  <si>
    <t>Vybourání plastových prosklených dveří pl.nad 2 m2</t>
  </si>
  <si>
    <t>NUS celkem</t>
  </si>
  <si>
    <t>WORK</t>
  </si>
  <si>
    <t>0,6*0,5+1,5*1,14+0,66*0,5+0,45*0,45*2</t>
  </si>
  <si>
    <t>(15,2+10,72)*2-(1,14+1,255+0,91)</t>
  </si>
  <si>
    <t>33,27688</t>
  </si>
  <si>
    <t>6*28;doplnění hambalků;</t>
  </si>
  <si>
    <t>0,6;B21;</t>
  </si>
  <si>
    <t>31,665*0,05;ztratné;</t>
  </si>
  <si>
    <t>83</t>
  </si>
  <si>
    <t>0,10318</t>
  </si>
  <si>
    <t>Výplně otvorů</t>
  </si>
  <si>
    <t>0,31*2*0,52*2+0,31*2*1,15+0,31*2*0,45;SZ;</t>
  </si>
  <si>
    <t>2;B16;</t>
  </si>
  <si>
    <t>114</t>
  </si>
  <si>
    <t>Ostatní rozpočtové náklady ORN</t>
  </si>
  <si>
    <t>47</t>
  </si>
  <si>
    <t>93+5-(0,3*2+1,7+0,2);SZ;</t>
  </si>
  <si>
    <t>0,46*2*1,6*2+0,46*2*0,8+0,46*2*1,415</t>
  </si>
  <si>
    <t>2,4*1,425;B9;</t>
  </si>
  <si>
    <t>HSV mat</t>
  </si>
  <si>
    <t>0,9*1,6*2+0,58*0,8+2,045*1,415+2,435*1,41+1,42*1,6+2,4*1,425</t>
  </si>
  <si>
    <t>Kč</t>
  </si>
  <si>
    <t>Vyvěšení plastových okenních křídel pl. do 1,5 m2</t>
  </si>
  <si>
    <t>611551243VD</t>
  </si>
  <si>
    <t>66</t>
  </si>
  <si>
    <t>Celkem VRN</t>
  </si>
  <si>
    <t>1,480;B18;</t>
  </si>
  <si>
    <t>979087312R00</t>
  </si>
  <si>
    <t>Demontáž ochranné sítě z umělých vláken</t>
  </si>
  <si>
    <t>0,9;B12;</t>
  </si>
  <si>
    <t>2+3,5;SV;</t>
  </si>
  <si>
    <t>611551255VD</t>
  </si>
  <si>
    <t>0,9*1,415;B12;</t>
  </si>
  <si>
    <t>Konstrukce tesařské</t>
  </si>
  <si>
    <t>H99</t>
  </si>
  <si>
    <t>0,9*2;B1;</t>
  </si>
  <si>
    <t>Zatepl.systém Baumit, ostění, EPS F plus tl. 30 mm</t>
  </si>
  <si>
    <t>90</t>
  </si>
  <si>
    <t>89</t>
  </si>
  <si>
    <t>648991113RT5</t>
  </si>
  <si>
    <t>Přesun hmot pro opravy a údržbu do výšky 12 m</t>
  </si>
  <si>
    <t>Ostatní rozpočtové náklady (ORN)</t>
  </si>
  <si>
    <t>Celkem DN</t>
  </si>
  <si>
    <t>1,42*1,6;B7;</t>
  </si>
  <si>
    <t>Bourání parapetů dřevěných š. do 25 cm</t>
  </si>
  <si>
    <t>1,48;O16;</t>
  </si>
  <si>
    <t>88</t>
  </si>
  <si>
    <t>-(0,91+1,14+1,255);dveře;</t>
  </si>
  <si>
    <t>0,9*2+0,58+2,045+2,435+1,42+2,4+2,06+0,535*3+0,9+2,04</t>
  </si>
  <si>
    <t>Montáž oken plastových plochy do 2,70 m2</t>
  </si>
  <si>
    <t>B29-osvětlení</t>
  </si>
  <si>
    <t>Zkrácený popis</t>
  </si>
  <si>
    <t>342280060RAA</t>
  </si>
  <si>
    <t>28</t>
  </si>
  <si>
    <t>(1,6*2+0,8+1,415+1,41+1,6+1,425+1,4+0,79*3+1,415+1,4)*2</t>
  </si>
  <si>
    <t>111</t>
  </si>
  <si>
    <t>Osazení parapet.desek lamin. š.nad 20cm včetně dodávky š. 400 mm</t>
  </si>
  <si>
    <t>Montáž tepelné izolace krovů spodem, vložená mezi krokve a pod krokve</t>
  </si>
  <si>
    <t>3;B4;</t>
  </si>
  <si>
    <t>Okno plastové 2060x1400mm - O7</t>
  </si>
  <si>
    <t>CELK</t>
  </si>
  <si>
    <t>113</t>
  </si>
  <si>
    <t>106</t>
  </si>
  <si>
    <t>94_</t>
  </si>
  <si>
    <t>611551250VD</t>
  </si>
  <si>
    <t>1;O3;</t>
  </si>
  <si>
    <t>65</t>
  </si>
  <si>
    <t>VATTAX</t>
  </si>
  <si>
    <t>a napojení osvětlení, dodávka větracích mřížek</t>
  </si>
  <si>
    <t>3;O8;</t>
  </si>
  <si>
    <t>34</t>
  </si>
  <si>
    <t>62</t>
  </si>
  <si>
    <t>Doplňkové náklady DN</t>
  </si>
  <si>
    <t>1;B21;</t>
  </si>
  <si>
    <t>0,545*2*0,85;vstup SV;</t>
  </si>
  <si>
    <t>Okno plastové 2045x1415mm - O3</t>
  </si>
  <si>
    <t>Vyvěšení plastových dveřních křídel pl. do 2 m2</t>
  </si>
  <si>
    <t>90*0,12;B27;</t>
  </si>
  <si>
    <t>941941831R00</t>
  </si>
  <si>
    <t>764410310RAD</t>
  </si>
  <si>
    <t>9+9;SZ+JV;</t>
  </si>
  <si>
    <t>0,58*0,8;B2;</t>
  </si>
</sst>
</file>

<file path=xl/styles.xml><?xml version="1.0" encoding="utf-8"?>
<styleSheet xmlns="http://schemas.openxmlformats.org/spreadsheetml/2006/main">
  <fonts count="12">
    <font>
      <sz val="8"/>
      <name val="Arial"/>
    </font>
    <font>
      <sz val="11"/>
      <name val="Calibri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10"/>
      <color rgb="FF000000"/>
      <name val="Arial"/>
      <charset val="238"/>
    </font>
    <font>
      <sz val="18"/>
      <color rgb="FF000000"/>
      <name val="Arial"/>
      <charset val="238"/>
    </font>
    <font>
      <b/>
      <sz val="2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11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28">
    <xf numFmtId="0" fontId="1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right" vertical="center"/>
    </xf>
    <xf numFmtId="0" fontId="3" fillId="2" borderId="7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3" fillId="0" borderId="21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4" fillId="2" borderId="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right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right" vertical="center"/>
    </xf>
    <xf numFmtId="0" fontId="3" fillId="2" borderId="7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4" fillId="0" borderId="30" xfId="0" applyNumberFormat="1" applyFont="1" applyFill="1" applyBorder="1" applyAlignment="1" applyProtection="1">
      <alignment horizontal="left" vertical="center"/>
    </xf>
    <xf numFmtId="0" fontId="4" fillId="0" borderId="31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27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 applyProtection="1">
      <alignment horizontal="left" vertical="center"/>
    </xf>
    <xf numFmtId="1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2" borderId="20" xfId="0" applyNumberFormat="1" applyFont="1" applyFill="1" applyBorder="1" applyAlignment="1" applyProtection="1">
      <alignment horizontal="left" vertical="center"/>
    </xf>
    <xf numFmtId="0" fontId="4" fillId="2" borderId="11" xfId="0" applyNumberFormat="1" applyFont="1" applyFill="1" applyBorder="1" applyAlignment="1" applyProtection="1">
      <alignment horizontal="left" vertical="center"/>
    </xf>
    <xf numFmtId="0" fontId="4" fillId="2" borderId="21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left" vertical="center"/>
    </xf>
    <xf numFmtId="0" fontId="5" fillId="0" borderId="33" xfId="0" applyNumberFormat="1" applyFont="1" applyFill="1" applyBorder="1" applyAlignment="1" applyProtection="1">
      <alignment horizontal="left" vertical="center"/>
    </xf>
    <xf numFmtId="0" fontId="5" fillId="0" borderId="17" xfId="0" applyNumberFormat="1" applyFont="1" applyFill="1" applyBorder="1" applyAlignment="1" applyProtection="1">
      <alignment horizontal="left" vertical="center"/>
    </xf>
    <xf numFmtId="0" fontId="5" fillId="0" borderId="32" xfId="0" applyNumberFormat="1" applyFont="1" applyFill="1" applyBorder="1" applyAlignment="1" applyProtection="1">
      <alignment horizontal="left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24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4" fontId="4" fillId="0" borderId="19" xfId="0" applyNumberFormat="1" applyFont="1" applyFill="1" applyBorder="1" applyAlignment="1" applyProtection="1">
      <alignment horizontal="right" vertical="center"/>
    </xf>
    <xf numFmtId="0" fontId="4" fillId="0" borderId="19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400050</xdr:colOff>
      <xdr:row>0</xdr:row>
      <xdr:rowOff>666750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 w="9525">
          <a:prstDash val="solid"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 w="9525">
          <a:prstDash val="solid"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57150</xdr:colOff>
      <xdr:row>0</xdr:row>
      <xdr:rowOff>666750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0" cy="666750"/>
        </a:xfrm>
        <a:prstGeom prst="rect">
          <a:avLst/>
        </a:prstGeom>
        <a:noFill/>
        <a:ln w="9525"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BW465"/>
  <sheetViews>
    <sheetView tabSelected="1" showOutlineSymbols="0" workbookViewId="0">
      <pane ySplit="11" topLeftCell="A12" activePane="bottomLeft" state="frozenSplit"/>
      <selection activeCell="A465" sqref="A465:K465"/>
      <selection pane="bottomLeft" sqref="A1:K1"/>
    </sheetView>
  </sheetViews>
  <sheetFormatPr defaultColWidth="14.1640625" defaultRowHeight="15" customHeight="1"/>
  <cols>
    <col min="1" max="1" width="4.6640625"/>
    <col min="2" max="2" width="20.83203125"/>
    <col min="3" max="3" width="50"/>
    <col min="4" max="4" width="11.6640625"/>
    <col min="5" max="5" width="6.83203125"/>
    <col min="6" max="6" width="15"/>
    <col min="7" max="7" width="14"/>
    <col min="8" max="10" width="18.33203125"/>
    <col min="11" max="11" width="15.6640625"/>
    <col min="25" max="75" width="14.1640625" hidden="1"/>
  </cols>
  <sheetData>
    <row r="1" spans="1:75" ht="54.75" customHeight="1">
      <c r="A1" s="59" t="s">
        <v>609</v>
      </c>
      <c r="B1" s="59"/>
      <c r="C1" s="59"/>
      <c r="D1" s="59"/>
      <c r="E1" s="59"/>
      <c r="F1" s="59"/>
      <c r="G1" s="59"/>
      <c r="H1" s="59"/>
      <c r="I1" s="59"/>
      <c r="J1" s="59"/>
      <c r="K1" s="59"/>
      <c r="AS1" s="49">
        <f>SUM(AJ1:AJ2)</f>
        <v>0</v>
      </c>
      <c r="AT1" s="49">
        <f>SUM(AK1:AK2)</f>
        <v>0</v>
      </c>
      <c r="AU1" s="49">
        <f>SUM(AL1:AL2)</f>
        <v>0</v>
      </c>
    </row>
    <row r="2" spans="1:75" ht="15" customHeight="1">
      <c r="A2" s="60" t="s">
        <v>52</v>
      </c>
      <c r="B2" s="61"/>
      <c r="C2" s="67" t="s">
        <v>69</v>
      </c>
      <c r="D2" s="68"/>
      <c r="E2" s="61" t="s">
        <v>6</v>
      </c>
      <c r="F2" s="61"/>
      <c r="G2" s="61" t="s">
        <v>619</v>
      </c>
      <c r="H2" s="65" t="s">
        <v>565</v>
      </c>
      <c r="I2" s="65" t="s">
        <v>575</v>
      </c>
      <c r="J2" s="61"/>
      <c r="K2" s="70"/>
    </row>
    <row r="3" spans="1:75" ht="15" customHeight="1">
      <c r="A3" s="62"/>
      <c r="B3" s="63"/>
      <c r="C3" s="69"/>
      <c r="D3" s="69"/>
      <c r="E3" s="63"/>
      <c r="F3" s="63"/>
      <c r="G3" s="63"/>
      <c r="H3" s="63"/>
      <c r="I3" s="63"/>
      <c r="J3" s="63"/>
      <c r="K3" s="71"/>
    </row>
    <row r="4" spans="1:75" ht="15" customHeight="1">
      <c r="A4" s="64" t="s">
        <v>376</v>
      </c>
      <c r="B4" s="63"/>
      <c r="C4" s="66" t="s">
        <v>632</v>
      </c>
      <c r="D4" s="63"/>
      <c r="E4" s="63" t="s">
        <v>593</v>
      </c>
      <c r="F4" s="63"/>
      <c r="G4" s="63" t="s">
        <v>619</v>
      </c>
      <c r="H4" s="66" t="s">
        <v>466</v>
      </c>
      <c r="I4" s="66" t="s">
        <v>600</v>
      </c>
      <c r="J4" s="63"/>
      <c r="K4" s="71"/>
    </row>
    <row r="5" spans="1:75" ht="1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71"/>
    </row>
    <row r="6" spans="1:75" ht="15" customHeight="1">
      <c r="A6" s="64" t="s">
        <v>70</v>
      </c>
      <c r="B6" s="63"/>
      <c r="C6" s="66" t="s">
        <v>147</v>
      </c>
      <c r="D6" s="63"/>
      <c r="E6" s="63" t="s">
        <v>226</v>
      </c>
      <c r="F6" s="63"/>
      <c r="G6" s="63" t="s">
        <v>619</v>
      </c>
      <c r="H6" s="66" t="s">
        <v>582</v>
      </c>
      <c r="I6" s="63" t="s">
        <v>326</v>
      </c>
      <c r="J6" s="63"/>
      <c r="K6" s="71"/>
    </row>
    <row r="7" spans="1:75" ht="15" customHeight="1">
      <c r="A7" s="62"/>
      <c r="B7" s="63"/>
      <c r="C7" s="63"/>
      <c r="D7" s="63"/>
      <c r="E7" s="63"/>
      <c r="F7" s="63"/>
      <c r="G7" s="63"/>
      <c r="H7" s="63"/>
      <c r="I7" s="63"/>
      <c r="J7" s="63"/>
      <c r="K7" s="71"/>
    </row>
    <row r="8" spans="1:75" ht="15" customHeight="1">
      <c r="A8" s="64" t="s">
        <v>337</v>
      </c>
      <c r="B8" s="63"/>
      <c r="C8" s="66" t="s">
        <v>619</v>
      </c>
      <c r="D8" s="63"/>
      <c r="E8" s="63" t="s">
        <v>383</v>
      </c>
      <c r="F8" s="63"/>
      <c r="G8" s="63" t="s">
        <v>222</v>
      </c>
      <c r="H8" s="66" t="s">
        <v>452</v>
      </c>
      <c r="I8" s="66" t="s">
        <v>33</v>
      </c>
      <c r="J8" s="63"/>
      <c r="K8" s="71"/>
    </row>
    <row r="9" spans="1:75" ht="15" customHeight="1">
      <c r="A9" s="62"/>
      <c r="B9" s="63"/>
      <c r="C9" s="63"/>
      <c r="D9" s="63"/>
      <c r="E9" s="63"/>
      <c r="F9" s="63"/>
      <c r="G9" s="63"/>
      <c r="H9" s="63"/>
      <c r="I9" s="63"/>
      <c r="J9" s="63"/>
      <c r="K9" s="71"/>
    </row>
    <row r="10" spans="1:75" ht="15" customHeight="1">
      <c r="A10" s="53" t="s">
        <v>62</v>
      </c>
      <c r="B10" s="51" t="s">
        <v>230</v>
      </c>
      <c r="C10" s="72" t="s">
        <v>727</v>
      </c>
      <c r="D10" s="73"/>
      <c r="E10" s="51" t="s">
        <v>242</v>
      </c>
      <c r="F10" s="19" t="s">
        <v>405</v>
      </c>
      <c r="G10" s="23" t="s">
        <v>224</v>
      </c>
      <c r="H10" s="76" t="s">
        <v>435</v>
      </c>
      <c r="I10" s="77"/>
      <c r="J10" s="78"/>
      <c r="K10" s="19" t="s">
        <v>197</v>
      </c>
      <c r="BK10" s="8" t="s">
        <v>276</v>
      </c>
      <c r="BL10" s="37" t="s">
        <v>368</v>
      </c>
      <c r="BW10" s="37" t="s">
        <v>743</v>
      </c>
    </row>
    <row r="11" spans="1:75" ht="15" customHeight="1">
      <c r="A11" s="40" t="s">
        <v>619</v>
      </c>
      <c r="B11" s="44" t="s">
        <v>619</v>
      </c>
      <c r="C11" s="74" t="s">
        <v>669</v>
      </c>
      <c r="D11" s="75"/>
      <c r="E11" s="44" t="s">
        <v>619</v>
      </c>
      <c r="F11" s="44" t="s">
        <v>619</v>
      </c>
      <c r="G11" s="30" t="s">
        <v>628</v>
      </c>
      <c r="H11" s="48" t="s">
        <v>40</v>
      </c>
      <c r="I11" s="12" t="s">
        <v>138</v>
      </c>
      <c r="J11" s="14" t="s">
        <v>79</v>
      </c>
      <c r="K11" s="12" t="s">
        <v>188</v>
      </c>
      <c r="Z11" s="8" t="s">
        <v>526</v>
      </c>
      <c r="AA11" s="8" t="s">
        <v>415</v>
      </c>
      <c r="AB11" s="8" t="s">
        <v>695</v>
      </c>
      <c r="AC11" s="8" t="s">
        <v>208</v>
      </c>
      <c r="AD11" s="8" t="s">
        <v>568</v>
      </c>
      <c r="AE11" s="8" t="s">
        <v>257</v>
      </c>
      <c r="AF11" s="8" t="s">
        <v>604</v>
      </c>
      <c r="AG11" s="8" t="s">
        <v>293</v>
      </c>
      <c r="AH11" s="8" t="s">
        <v>192</v>
      </c>
      <c r="BH11" s="8" t="s">
        <v>527</v>
      </c>
      <c r="BI11" s="8" t="s">
        <v>677</v>
      </c>
      <c r="BJ11" s="8" t="s">
        <v>736</v>
      </c>
    </row>
    <row r="12" spans="1:75" ht="15" customHeight="1">
      <c r="A12" s="50" t="s">
        <v>469</v>
      </c>
      <c r="B12" s="18" t="s">
        <v>370</v>
      </c>
      <c r="C12" s="79" t="s">
        <v>407</v>
      </c>
      <c r="D12" s="80"/>
      <c r="E12" s="56" t="s">
        <v>619</v>
      </c>
      <c r="F12" s="56" t="s">
        <v>619</v>
      </c>
      <c r="G12" s="56" t="s">
        <v>619</v>
      </c>
      <c r="H12" s="25">
        <f>SUM(H13:H22)</f>
        <v>0</v>
      </c>
      <c r="I12" s="25">
        <f>SUM(I13:I22)</f>
        <v>0</v>
      </c>
      <c r="J12" s="25">
        <f>SUM(J13:J22)</f>
        <v>0</v>
      </c>
      <c r="K12" s="1" t="s">
        <v>469</v>
      </c>
      <c r="AI12" s="8" t="s">
        <v>469</v>
      </c>
      <c r="AS12" s="49">
        <f>SUM(AJ13:AJ22)</f>
        <v>0</v>
      </c>
      <c r="AT12" s="49">
        <f>SUM(AK13:AK22)</f>
        <v>0</v>
      </c>
      <c r="AU12" s="49">
        <f>SUM(AL13:AL22)</f>
        <v>0</v>
      </c>
    </row>
    <row r="13" spans="1:75" ht="13.5" customHeight="1">
      <c r="A13" s="26" t="s">
        <v>661</v>
      </c>
      <c r="B13" s="46" t="s">
        <v>412</v>
      </c>
      <c r="C13" s="66" t="s">
        <v>206</v>
      </c>
      <c r="D13" s="63"/>
      <c r="E13" s="46" t="s">
        <v>506</v>
      </c>
      <c r="F13" s="41">
        <v>1</v>
      </c>
      <c r="G13" s="41">
        <v>0</v>
      </c>
      <c r="H13" s="41">
        <f>F13*AO13</f>
        <v>0</v>
      </c>
      <c r="I13" s="41">
        <f>F13*AP13</f>
        <v>0</v>
      </c>
      <c r="J13" s="41">
        <f>F13*G13</f>
        <v>0</v>
      </c>
      <c r="K13" s="13" t="s">
        <v>469</v>
      </c>
      <c r="Z13" s="41">
        <f>IF(AQ13="5",BJ13,0)</f>
        <v>0</v>
      </c>
      <c r="AB13" s="41">
        <f>IF(AQ13="1",BH13,0)</f>
        <v>0</v>
      </c>
      <c r="AC13" s="41">
        <f>IF(AQ13="1",BI13,0)</f>
        <v>0</v>
      </c>
      <c r="AD13" s="41">
        <f>IF(AQ13="7",BH13,0)</f>
        <v>0</v>
      </c>
      <c r="AE13" s="41">
        <f>IF(AQ13="7",BI13,0)</f>
        <v>0</v>
      </c>
      <c r="AF13" s="41">
        <f>IF(AQ13="2",BH13,0)</f>
        <v>0</v>
      </c>
      <c r="AG13" s="41">
        <f>IF(AQ13="2",BI13,0)</f>
        <v>0</v>
      </c>
      <c r="AH13" s="41">
        <f>IF(AQ13="0",BJ13,0)</f>
        <v>0</v>
      </c>
      <c r="AI13" s="8" t="s">
        <v>469</v>
      </c>
      <c r="AJ13" s="41">
        <f>IF(AN13=0,J13,0)</f>
        <v>0</v>
      </c>
      <c r="AK13" s="41">
        <f>IF(AN13=12,J13,0)</f>
        <v>0</v>
      </c>
      <c r="AL13" s="41">
        <f>IF(AN13=21,J13,0)</f>
        <v>0</v>
      </c>
      <c r="AN13" s="41">
        <v>12</v>
      </c>
      <c r="AO13" s="41">
        <f>G13*0</f>
        <v>0</v>
      </c>
      <c r="AP13" s="41">
        <f>G13*(1-0)</f>
        <v>0</v>
      </c>
      <c r="AQ13" s="38" t="s">
        <v>661</v>
      </c>
      <c r="AV13" s="41">
        <f>AW13+AX13</f>
        <v>0</v>
      </c>
      <c r="AW13" s="41">
        <f>F13*AO13</f>
        <v>0</v>
      </c>
      <c r="AX13" s="41">
        <f>F13*AP13</f>
        <v>0</v>
      </c>
      <c r="AY13" s="38" t="s">
        <v>588</v>
      </c>
      <c r="AZ13" s="38" t="s">
        <v>588</v>
      </c>
      <c r="BA13" s="8" t="s">
        <v>518</v>
      </c>
      <c r="BC13" s="41">
        <f>AW13+AX13</f>
        <v>0</v>
      </c>
      <c r="BD13" s="41">
        <f>G13/(100-BE13)*100</f>
        <v>0</v>
      </c>
      <c r="BE13" s="41">
        <v>0</v>
      </c>
      <c r="BF13" s="41">
        <f>13</f>
        <v>13</v>
      </c>
      <c r="BH13" s="41">
        <f>F13*AO13</f>
        <v>0</v>
      </c>
      <c r="BI13" s="41">
        <f>F13*AP13</f>
        <v>0</v>
      </c>
      <c r="BJ13" s="41">
        <f>F13*G13</f>
        <v>0</v>
      </c>
      <c r="BK13" s="41"/>
      <c r="BL13" s="41">
        <v>0</v>
      </c>
      <c r="BW13" s="41">
        <v>12</v>
      </c>
    </row>
    <row r="14" spans="1:75" ht="15" customHeight="1">
      <c r="A14" s="17"/>
      <c r="C14" s="7" t="s">
        <v>135</v>
      </c>
      <c r="D14" s="7" t="s">
        <v>469</v>
      </c>
      <c r="F14" s="52">
        <v>1</v>
      </c>
      <c r="K14" s="34"/>
    </row>
    <row r="15" spans="1:75" ht="15" customHeight="1">
      <c r="A15" s="17"/>
      <c r="C15" s="7" t="s">
        <v>418</v>
      </c>
      <c r="D15" s="7" t="s">
        <v>469</v>
      </c>
      <c r="F15" s="52">
        <v>0</v>
      </c>
      <c r="K15" s="34"/>
    </row>
    <row r="16" spans="1:75" ht="15" customHeight="1">
      <c r="A16" s="17"/>
      <c r="C16" s="7" t="s">
        <v>726</v>
      </c>
      <c r="D16" s="7" t="s">
        <v>469</v>
      </c>
      <c r="F16" s="52">
        <v>0</v>
      </c>
      <c r="K16" s="34"/>
    </row>
    <row r="17" spans="1:75" ht="15" customHeight="1">
      <c r="A17" s="17"/>
      <c r="C17" s="7" t="s">
        <v>196</v>
      </c>
      <c r="D17" s="7" t="s">
        <v>469</v>
      </c>
      <c r="F17" s="52">
        <v>0</v>
      </c>
      <c r="K17" s="34"/>
    </row>
    <row r="18" spans="1:75" ht="15" customHeight="1">
      <c r="A18" s="17"/>
      <c r="C18" s="7" t="s">
        <v>183</v>
      </c>
      <c r="D18" s="7" t="s">
        <v>469</v>
      </c>
      <c r="F18" s="52">
        <v>0</v>
      </c>
      <c r="K18" s="34"/>
    </row>
    <row r="19" spans="1:75" ht="15" customHeight="1">
      <c r="A19" s="17"/>
      <c r="C19" s="7" t="s">
        <v>467</v>
      </c>
      <c r="D19" s="7" t="s">
        <v>469</v>
      </c>
      <c r="F19" s="52">
        <v>0</v>
      </c>
      <c r="K19" s="34"/>
    </row>
    <row r="20" spans="1:75" ht="15" customHeight="1">
      <c r="A20" s="17"/>
      <c r="C20" s="7" t="s">
        <v>744</v>
      </c>
      <c r="D20" s="7" t="s">
        <v>469</v>
      </c>
      <c r="F20" s="52">
        <v>0</v>
      </c>
      <c r="K20" s="34"/>
    </row>
    <row r="21" spans="1:75" ht="15" customHeight="1">
      <c r="A21" s="17"/>
      <c r="C21" s="7" t="s">
        <v>228</v>
      </c>
      <c r="D21" s="7" t="s">
        <v>469</v>
      </c>
      <c r="F21" s="52">
        <v>0</v>
      </c>
      <c r="K21" s="34"/>
    </row>
    <row r="22" spans="1:75" ht="27" customHeight="1">
      <c r="A22" s="26" t="s">
        <v>465</v>
      </c>
      <c r="B22" s="46" t="s">
        <v>364</v>
      </c>
      <c r="C22" s="66" t="s">
        <v>306</v>
      </c>
      <c r="D22" s="63"/>
      <c r="E22" s="46" t="s">
        <v>506</v>
      </c>
      <c r="F22" s="41">
        <v>1</v>
      </c>
      <c r="G22" s="41">
        <v>0</v>
      </c>
      <c r="H22" s="41">
        <f>F22*AO22</f>
        <v>0</v>
      </c>
      <c r="I22" s="41">
        <f>F22*AP22</f>
        <v>0</v>
      </c>
      <c r="J22" s="41">
        <f>F22*G22</f>
        <v>0</v>
      </c>
      <c r="K22" s="13" t="s">
        <v>469</v>
      </c>
      <c r="Z22" s="41">
        <f>IF(AQ22="5",BJ22,0)</f>
        <v>0</v>
      </c>
      <c r="AB22" s="41">
        <f>IF(AQ22="1",BH22,0)</f>
        <v>0</v>
      </c>
      <c r="AC22" s="41">
        <f>IF(AQ22="1",BI22,0)</f>
        <v>0</v>
      </c>
      <c r="AD22" s="41">
        <f>IF(AQ22="7",BH22,0)</f>
        <v>0</v>
      </c>
      <c r="AE22" s="41">
        <f>IF(AQ22="7",BI22,0)</f>
        <v>0</v>
      </c>
      <c r="AF22" s="41">
        <f>IF(AQ22="2",BH22,0)</f>
        <v>0</v>
      </c>
      <c r="AG22" s="41">
        <f>IF(AQ22="2",BI22,0)</f>
        <v>0</v>
      </c>
      <c r="AH22" s="41">
        <f>IF(AQ22="0",BJ22,0)</f>
        <v>0</v>
      </c>
      <c r="AI22" s="8" t="s">
        <v>469</v>
      </c>
      <c r="AJ22" s="41">
        <f>IF(AN22=0,J22,0)</f>
        <v>0</v>
      </c>
      <c r="AK22" s="41">
        <f>IF(AN22=12,J22,0)</f>
        <v>0</v>
      </c>
      <c r="AL22" s="41">
        <f>IF(AN22=21,J22,0)</f>
        <v>0</v>
      </c>
      <c r="AN22" s="41">
        <v>12</v>
      </c>
      <c r="AO22" s="41">
        <f>G22*0.75</f>
        <v>0</v>
      </c>
      <c r="AP22" s="41">
        <f>G22*(1-0.75)</f>
        <v>0</v>
      </c>
      <c r="AQ22" s="38" t="s">
        <v>661</v>
      </c>
      <c r="AV22" s="41">
        <f>AW22+AX22</f>
        <v>0</v>
      </c>
      <c r="AW22" s="41">
        <f>F22*AO22</f>
        <v>0</v>
      </c>
      <c r="AX22" s="41">
        <f>F22*AP22</f>
        <v>0</v>
      </c>
      <c r="AY22" s="38" t="s">
        <v>588</v>
      </c>
      <c r="AZ22" s="38" t="s">
        <v>588</v>
      </c>
      <c r="BA22" s="8" t="s">
        <v>518</v>
      </c>
      <c r="BC22" s="41">
        <f>AW22+AX22</f>
        <v>0</v>
      </c>
      <c r="BD22" s="41">
        <f>G22/(100-BE22)*100</f>
        <v>0</v>
      </c>
      <c r="BE22" s="41">
        <v>0</v>
      </c>
      <c r="BF22" s="41">
        <f>22</f>
        <v>22</v>
      </c>
      <c r="BH22" s="41">
        <f>F22*AO22</f>
        <v>0</v>
      </c>
      <c r="BI22" s="41">
        <f>F22*AP22</f>
        <v>0</v>
      </c>
      <c r="BJ22" s="41">
        <f>F22*G22</f>
        <v>0</v>
      </c>
      <c r="BK22" s="41"/>
      <c r="BL22" s="41">
        <v>0</v>
      </c>
      <c r="BW22" s="41">
        <v>12</v>
      </c>
    </row>
    <row r="23" spans="1:75" ht="15" customHeight="1">
      <c r="A23" s="17"/>
      <c r="C23" s="7" t="s">
        <v>135</v>
      </c>
      <c r="D23" s="7" t="s">
        <v>469</v>
      </c>
      <c r="F23" s="52">
        <v>1</v>
      </c>
      <c r="K23" s="34"/>
    </row>
    <row r="24" spans="1:75" ht="15" customHeight="1">
      <c r="A24" s="11" t="s">
        <v>469</v>
      </c>
      <c r="B24" s="16" t="s">
        <v>746</v>
      </c>
      <c r="C24" s="79" t="s">
        <v>173</v>
      </c>
      <c r="D24" s="80"/>
      <c r="E24" s="58" t="s">
        <v>619</v>
      </c>
      <c r="F24" s="58" t="s">
        <v>619</v>
      </c>
      <c r="G24" s="58" t="s">
        <v>619</v>
      </c>
      <c r="H24" s="49">
        <f>SUM(H25:H25)</f>
        <v>0</v>
      </c>
      <c r="I24" s="49">
        <f>SUM(I25:I25)</f>
        <v>0</v>
      </c>
      <c r="J24" s="49">
        <f>SUM(J25:J25)</f>
        <v>0</v>
      </c>
      <c r="K24" s="32" t="s">
        <v>469</v>
      </c>
      <c r="AI24" s="8" t="s">
        <v>469</v>
      </c>
      <c r="AS24" s="49">
        <f>SUM(AJ25:AJ25)</f>
        <v>0</v>
      </c>
      <c r="AT24" s="49">
        <f>SUM(AK25:AK25)</f>
        <v>0</v>
      </c>
      <c r="AU24" s="49">
        <f>SUM(AL25:AL25)</f>
        <v>0</v>
      </c>
    </row>
    <row r="25" spans="1:75" ht="27" customHeight="1">
      <c r="A25" s="26" t="s">
        <v>576</v>
      </c>
      <c r="B25" s="46" t="s">
        <v>728</v>
      </c>
      <c r="C25" s="66" t="s">
        <v>520</v>
      </c>
      <c r="D25" s="63"/>
      <c r="E25" s="46" t="s">
        <v>654</v>
      </c>
      <c r="F25" s="41">
        <v>105</v>
      </c>
      <c r="G25" s="41">
        <v>0</v>
      </c>
      <c r="H25" s="41">
        <f>F25*AO25</f>
        <v>0</v>
      </c>
      <c r="I25" s="41">
        <f>F25*AP25</f>
        <v>0</v>
      </c>
      <c r="J25" s="41">
        <f>F25*G25</f>
        <v>0</v>
      </c>
      <c r="K25" s="13" t="s">
        <v>313</v>
      </c>
      <c r="Z25" s="41">
        <f>IF(AQ25="5",BJ25,0)</f>
        <v>0</v>
      </c>
      <c r="AB25" s="41">
        <f>IF(AQ25="1",BH25,0)</f>
        <v>0</v>
      </c>
      <c r="AC25" s="41">
        <f>IF(AQ25="1",BI25,0)</f>
        <v>0</v>
      </c>
      <c r="AD25" s="41">
        <f>IF(AQ25="7",BH25,0)</f>
        <v>0</v>
      </c>
      <c r="AE25" s="41">
        <f>IF(AQ25="7",BI25,0)</f>
        <v>0</v>
      </c>
      <c r="AF25" s="41">
        <f>IF(AQ25="2",BH25,0)</f>
        <v>0</v>
      </c>
      <c r="AG25" s="41">
        <f>IF(AQ25="2",BI25,0)</f>
        <v>0</v>
      </c>
      <c r="AH25" s="41">
        <f>IF(AQ25="0",BJ25,0)</f>
        <v>0</v>
      </c>
      <c r="AI25" s="8" t="s">
        <v>469</v>
      </c>
      <c r="AJ25" s="41">
        <f>IF(AN25=0,J25,0)</f>
        <v>0</v>
      </c>
      <c r="AK25" s="41">
        <f>IF(AN25=12,J25,0)</f>
        <v>0</v>
      </c>
      <c r="AL25" s="41">
        <f>IF(AN25=21,J25,0)</f>
        <v>0</v>
      </c>
      <c r="AN25" s="41">
        <v>12</v>
      </c>
      <c r="AO25" s="41">
        <f>G25*0.417375256322625</f>
        <v>0</v>
      </c>
      <c r="AP25" s="41">
        <f>G25*(1-0.417375256322625)</f>
        <v>0</v>
      </c>
      <c r="AQ25" s="38" t="s">
        <v>661</v>
      </c>
      <c r="AV25" s="41">
        <f>AW25+AX25</f>
        <v>0</v>
      </c>
      <c r="AW25" s="41">
        <f>F25*AO25</f>
        <v>0</v>
      </c>
      <c r="AX25" s="41">
        <f>F25*AP25</f>
        <v>0</v>
      </c>
      <c r="AY25" s="38" t="s">
        <v>482</v>
      </c>
      <c r="AZ25" s="38" t="s">
        <v>44</v>
      </c>
      <c r="BA25" s="8" t="s">
        <v>518</v>
      </c>
      <c r="BC25" s="41">
        <f>AW25+AX25</f>
        <v>0</v>
      </c>
      <c r="BD25" s="41">
        <f>G25/(100-BE25)*100</f>
        <v>0</v>
      </c>
      <c r="BE25" s="41">
        <v>0</v>
      </c>
      <c r="BF25" s="41">
        <f>25</f>
        <v>25</v>
      </c>
      <c r="BH25" s="41">
        <f>F25*AO25</f>
        <v>0</v>
      </c>
      <c r="BI25" s="41">
        <f>F25*AP25</f>
        <v>0</v>
      </c>
      <c r="BJ25" s="41">
        <f>F25*G25</f>
        <v>0</v>
      </c>
      <c r="BK25" s="41"/>
      <c r="BL25" s="41">
        <v>34</v>
      </c>
      <c r="BW25" s="41">
        <v>12</v>
      </c>
    </row>
    <row r="26" spans="1:75" ht="15" customHeight="1">
      <c r="A26" s="17"/>
      <c r="C26" s="7" t="s">
        <v>350</v>
      </c>
      <c r="D26" s="7" t="s">
        <v>469</v>
      </c>
      <c r="F26" s="52">
        <v>105.00000000000001</v>
      </c>
      <c r="K26" s="34"/>
    </row>
    <row r="27" spans="1:75" ht="15" customHeight="1">
      <c r="A27" s="11" t="s">
        <v>469</v>
      </c>
      <c r="B27" s="16" t="s">
        <v>492</v>
      </c>
      <c r="C27" s="79" t="s">
        <v>486</v>
      </c>
      <c r="D27" s="80"/>
      <c r="E27" s="58" t="s">
        <v>619</v>
      </c>
      <c r="F27" s="58" t="s">
        <v>619</v>
      </c>
      <c r="G27" s="58" t="s">
        <v>619</v>
      </c>
      <c r="H27" s="49">
        <f>SUM(H28:H35)</f>
        <v>0</v>
      </c>
      <c r="I27" s="49">
        <f>SUM(I28:I35)</f>
        <v>0</v>
      </c>
      <c r="J27" s="49">
        <f>SUM(J28:J35)</f>
        <v>0</v>
      </c>
      <c r="K27" s="32" t="s">
        <v>469</v>
      </c>
      <c r="AI27" s="8" t="s">
        <v>469</v>
      </c>
      <c r="AS27" s="49">
        <f>SUM(AJ28:AJ35)</f>
        <v>0</v>
      </c>
      <c r="AT27" s="49">
        <f>SUM(AK28:AK35)</f>
        <v>0</v>
      </c>
      <c r="AU27" s="49">
        <f>SUM(AL28:AL35)</f>
        <v>0</v>
      </c>
    </row>
    <row r="28" spans="1:75" ht="13.5" customHeight="1">
      <c r="A28" s="26" t="s">
        <v>91</v>
      </c>
      <c r="B28" s="46" t="s">
        <v>57</v>
      </c>
      <c r="C28" s="66" t="s">
        <v>410</v>
      </c>
      <c r="D28" s="63"/>
      <c r="E28" s="46" t="s">
        <v>182</v>
      </c>
      <c r="F28" s="41">
        <v>29</v>
      </c>
      <c r="G28" s="41">
        <v>0</v>
      </c>
      <c r="H28" s="41">
        <f>F28*AO28</f>
        <v>0</v>
      </c>
      <c r="I28" s="41">
        <f>F28*AP28</f>
        <v>0</v>
      </c>
      <c r="J28" s="41">
        <f>F28*G28</f>
        <v>0</v>
      </c>
      <c r="K28" s="13" t="s">
        <v>313</v>
      </c>
      <c r="Z28" s="41">
        <f>IF(AQ28="5",BJ28,0)</f>
        <v>0</v>
      </c>
      <c r="AB28" s="41">
        <f>IF(AQ28="1",BH28,0)</f>
        <v>0</v>
      </c>
      <c r="AC28" s="41">
        <f>IF(AQ28="1",BI28,0)</f>
        <v>0</v>
      </c>
      <c r="AD28" s="41">
        <f>IF(AQ28="7",BH28,0)</f>
        <v>0</v>
      </c>
      <c r="AE28" s="41">
        <f>IF(AQ28="7",BI28,0)</f>
        <v>0</v>
      </c>
      <c r="AF28" s="41">
        <f>IF(AQ28="2",BH28,0)</f>
        <v>0</v>
      </c>
      <c r="AG28" s="41">
        <f>IF(AQ28="2",BI28,0)</f>
        <v>0</v>
      </c>
      <c r="AH28" s="41">
        <f>IF(AQ28="0",BJ28,0)</f>
        <v>0</v>
      </c>
      <c r="AI28" s="8" t="s">
        <v>469</v>
      </c>
      <c r="AJ28" s="41">
        <f>IF(AN28=0,J28,0)</f>
        <v>0</v>
      </c>
      <c r="AK28" s="41">
        <f>IF(AN28=12,J28,0)</f>
        <v>0</v>
      </c>
      <c r="AL28" s="41">
        <f>IF(AN28=21,J28,0)</f>
        <v>0</v>
      </c>
      <c r="AN28" s="41">
        <v>12</v>
      </c>
      <c r="AO28" s="41">
        <f>G28*0.414700704225352</f>
        <v>0</v>
      </c>
      <c r="AP28" s="41">
        <f>G28*(1-0.414700704225352)</f>
        <v>0</v>
      </c>
      <c r="AQ28" s="38" t="s">
        <v>661</v>
      </c>
      <c r="AV28" s="41">
        <f>AW28+AX28</f>
        <v>0</v>
      </c>
      <c r="AW28" s="41">
        <f>F28*AO28</f>
        <v>0</v>
      </c>
      <c r="AX28" s="41">
        <f>F28*AP28</f>
        <v>0</v>
      </c>
      <c r="AY28" s="38" t="s">
        <v>428</v>
      </c>
      <c r="AZ28" s="38" t="s">
        <v>102</v>
      </c>
      <c r="BA28" s="8" t="s">
        <v>518</v>
      </c>
      <c r="BC28" s="41">
        <f>AW28+AX28</f>
        <v>0</v>
      </c>
      <c r="BD28" s="41">
        <f>G28/(100-BE28)*100</f>
        <v>0</v>
      </c>
      <c r="BE28" s="41">
        <v>0</v>
      </c>
      <c r="BF28" s="41">
        <f>28</f>
        <v>28</v>
      </c>
      <c r="BH28" s="41">
        <f>F28*AO28</f>
        <v>0</v>
      </c>
      <c r="BI28" s="41">
        <f>F28*AP28</f>
        <v>0</v>
      </c>
      <c r="BJ28" s="41">
        <f>F28*G28</f>
        <v>0</v>
      </c>
      <c r="BK28" s="41"/>
      <c r="BL28" s="41">
        <v>61</v>
      </c>
      <c r="BW28" s="41">
        <v>12</v>
      </c>
    </row>
    <row r="29" spans="1:75" ht="15" customHeight="1">
      <c r="A29" s="17"/>
      <c r="C29" s="7" t="s">
        <v>12</v>
      </c>
      <c r="D29" s="7" t="s">
        <v>469</v>
      </c>
      <c r="F29" s="52">
        <v>26.000000000000004</v>
      </c>
      <c r="K29" s="34"/>
    </row>
    <row r="30" spans="1:75" ht="15" customHeight="1">
      <c r="A30" s="17"/>
      <c r="C30" s="7" t="s">
        <v>201</v>
      </c>
      <c r="D30" s="7" t="s">
        <v>469</v>
      </c>
      <c r="F30" s="52">
        <v>3.0000000000000004</v>
      </c>
      <c r="K30" s="34"/>
    </row>
    <row r="31" spans="1:75" ht="13.5" customHeight="1">
      <c r="A31" s="26" t="s">
        <v>372</v>
      </c>
      <c r="B31" s="46" t="s">
        <v>7</v>
      </c>
      <c r="C31" s="66" t="s">
        <v>47</v>
      </c>
      <c r="D31" s="63"/>
      <c r="E31" s="46" t="s">
        <v>556</v>
      </c>
      <c r="F31" s="41">
        <v>122</v>
      </c>
      <c r="G31" s="41">
        <v>0</v>
      </c>
      <c r="H31" s="41">
        <f>F31*AO31</f>
        <v>0</v>
      </c>
      <c r="I31" s="41">
        <f>F31*AP31</f>
        <v>0</v>
      </c>
      <c r="J31" s="41">
        <f>F31*G31</f>
        <v>0</v>
      </c>
      <c r="K31" s="13" t="s">
        <v>313</v>
      </c>
      <c r="Z31" s="41">
        <f>IF(AQ31="5",BJ31,0)</f>
        <v>0</v>
      </c>
      <c r="AB31" s="41">
        <f>IF(AQ31="1",BH31,0)</f>
        <v>0</v>
      </c>
      <c r="AC31" s="41">
        <f>IF(AQ31="1",BI31,0)</f>
        <v>0</v>
      </c>
      <c r="AD31" s="41">
        <f>IF(AQ31="7",BH31,0)</f>
        <v>0</v>
      </c>
      <c r="AE31" s="41">
        <f>IF(AQ31="7",BI31,0)</f>
        <v>0</v>
      </c>
      <c r="AF31" s="41">
        <f>IF(AQ31="2",BH31,0)</f>
        <v>0</v>
      </c>
      <c r="AG31" s="41">
        <f>IF(AQ31="2",BI31,0)</f>
        <v>0</v>
      </c>
      <c r="AH31" s="41">
        <f>IF(AQ31="0",BJ31,0)</f>
        <v>0</v>
      </c>
      <c r="AI31" s="8" t="s">
        <v>469</v>
      </c>
      <c r="AJ31" s="41">
        <f>IF(AN31=0,J31,0)</f>
        <v>0</v>
      </c>
      <c r="AK31" s="41">
        <f>IF(AN31=12,J31,0)</f>
        <v>0</v>
      </c>
      <c r="AL31" s="41">
        <f>IF(AN31=21,J31,0)</f>
        <v>0</v>
      </c>
      <c r="AN31" s="41">
        <v>12</v>
      </c>
      <c r="AO31" s="41">
        <f>G31*0.0547729287754901</f>
        <v>0</v>
      </c>
      <c r="AP31" s="41">
        <f>G31*(1-0.0547729287754901)</f>
        <v>0</v>
      </c>
      <c r="AQ31" s="38" t="s">
        <v>661</v>
      </c>
      <c r="AV31" s="41">
        <f>AW31+AX31</f>
        <v>0</v>
      </c>
      <c r="AW31" s="41">
        <f>F31*AO31</f>
        <v>0</v>
      </c>
      <c r="AX31" s="41">
        <f>F31*AP31</f>
        <v>0</v>
      </c>
      <c r="AY31" s="38" t="s">
        <v>428</v>
      </c>
      <c r="AZ31" s="38" t="s">
        <v>102</v>
      </c>
      <c r="BA31" s="8" t="s">
        <v>518</v>
      </c>
      <c r="BC31" s="41">
        <f>AW31+AX31</f>
        <v>0</v>
      </c>
      <c r="BD31" s="41">
        <f>G31/(100-BE31)*100</f>
        <v>0</v>
      </c>
      <c r="BE31" s="41">
        <v>0</v>
      </c>
      <c r="BF31" s="41">
        <f>31</f>
        <v>31</v>
      </c>
      <c r="BH31" s="41">
        <f>F31*AO31</f>
        <v>0</v>
      </c>
      <c r="BI31" s="41">
        <f>F31*AP31</f>
        <v>0</v>
      </c>
      <c r="BJ31" s="41">
        <f>F31*G31</f>
        <v>0</v>
      </c>
      <c r="BK31" s="41"/>
      <c r="BL31" s="41">
        <v>61</v>
      </c>
      <c r="BW31" s="41">
        <v>12</v>
      </c>
    </row>
    <row r="32" spans="1:75" ht="15" customHeight="1">
      <c r="A32" s="17"/>
      <c r="C32" s="7" t="s">
        <v>656</v>
      </c>
      <c r="D32" s="7" t="s">
        <v>469</v>
      </c>
      <c r="F32" s="52">
        <v>122.00000000000001</v>
      </c>
      <c r="K32" s="34"/>
    </row>
    <row r="33" spans="1:75" ht="13.5" customHeight="1">
      <c r="A33" s="26" t="s">
        <v>123</v>
      </c>
      <c r="B33" s="46" t="s">
        <v>105</v>
      </c>
      <c r="C33" s="66" t="s">
        <v>566</v>
      </c>
      <c r="D33" s="63"/>
      <c r="E33" s="46" t="s">
        <v>654</v>
      </c>
      <c r="F33" s="41">
        <v>20.5</v>
      </c>
      <c r="G33" s="41">
        <v>0</v>
      </c>
      <c r="H33" s="41">
        <f>F33*AO33</f>
        <v>0</v>
      </c>
      <c r="I33" s="41">
        <f>F33*AP33</f>
        <v>0</v>
      </c>
      <c r="J33" s="41">
        <f>F33*G33</f>
        <v>0</v>
      </c>
      <c r="K33" s="13" t="s">
        <v>313</v>
      </c>
      <c r="Z33" s="41">
        <f>IF(AQ33="5",BJ33,0)</f>
        <v>0</v>
      </c>
      <c r="AB33" s="41">
        <f>IF(AQ33="1",BH33,0)</f>
        <v>0</v>
      </c>
      <c r="AC33" s="41">
        <f>IF(AQ33="1",BI33,0)</f>
        <v>0</v>
      </c>
      <c r="AD33" s="41">
        <f>IF(AQ33="7",BH33,0)</f>
        <v>0</v>
      </c>
      <c r="AE33" s="41">
        <f>IF(AQ33="7",BI33,0)</f>
        <v>0</v>
      </c>
      <c r="AF33" s="41">
        <f>IF(AQ33="2",BH33,0)</f>
        <v>0</v>
      </c>
      <c r="AG33" s="41">
        <f>IF(AQ33="2",BI33,0)</f>
        <v>0</v>
      </c>
      <c r="AH33" s="41">
        <f>IF(AQ33="0",BJ33,0)</f>
        <v>0</v>
      </c>
      <c r="AI33" s="8" t="s">
        <v>469</v>
      </c>
      <c r="AJ33" s="41">
        <f>IF(AN33=0,J33,0)</f>
        <v>0</v>
      </c>
      <c r="AK33" s="41">
        <f>IF(AN33=12,J33,0)</f>
        <v>0</v>
      </c>
      <c r="AL33" s="41">
        <f>IF(AN33=21,J33,0)</f>
        <v>0</v>
      </c>
      <c r="AN33" s="41">
        <v>12</v>
      </c>
      <c r="AO33" s="41">
        <f>G33*0.279393939393939</f>
        <v>0</v>
      </c>
      <c r="AP33" s="41">
        <f>G33*(1-0.279393939393939)</f>
        <v>0</v>
      </c>
      <c r="AQ33" s="38" t="s">
        <v>661</v>
      </c>
      <c r="AV33" s="41">
        <f>AW33+AX33</f>
        <v>0</v>
      </c>
      <c r="AW33" s="41">
        <f>F33*AO33</f>
        <v>0</v>
      </c>
      <c r="AX33" s="41">
        <f>F33*AP33</f>
        <v>0</v>
      </c>
      <c r="AY33" s="38" t="s">
        <v>428</v>
      </c>
      <c r="AZ33" s="38" t="s">
        <v>102</v>
      </c>
      <c r="BA33" s="8" t="s">
        <v>518</v>
      </c>
      <c r="BC33" s="41">
        <f>AW33+AX33</f>
        <v>0</v>
      </c>
      <c r="BD33" s="41">
        <f>G33/(100-BE33)*100</f>
        <v>0</v>
      </c>
      <c r="BE33" s="41">
        <v>0</v>
      </c>
      <c r="BF33" s="41">
        <f>33</f>
        <v>33</v>
      </c>
      <c r="BH33" s="41">
        <f>F33*AO33</f>
        <v>0</v>
      </c>
      <c r="BI33" s="41">
        <f>F33*AP33</f>
        <v>0</v>
      </c>
      <c r="BJ33" s="41">
        <f>F33*G33</f>
        <v>0</v>
      </c>
      <c r="BK33" s="41"/>
      <c r="BL33" s="41">
        <v>61</v>
      </c>
      <c r="BW33" s="41">
        <v>12</v>
      </c>
    </row>
    <row r="34" spans="1:75" ht="15" customHeight="1">
      <c r="A34" s="17"/>
      <c r="C34" s="7" t="s">
        <v>203</v>
      </c>
      <c r="D34" s="7" t="s">
        <v>469</v>
      </c>
      <c r="F34" s="52">
        <v>20.5</v>
      </c>
      <c r="K34" s="34"/>
    </row>
    <row r="35" spans="1:75" ht="13.5" customHeight="1">
      <c r="A35" s="26" t="s">
        <v>665</v>
      </c>
      <c r="B35" s="46" t="s">
        <v>248</v>
      </c>
      <c r="C35" s="66" t="s">
        <v>126</v>
      </c>
      <c r="D35" s="63"/>
      <c r="E35" s="46" t="s">
        <v>654</v>
      </c>
      <c r="F35" s="41">
        <v>20.5</v>
      </c>
      <c r="G35" s="41">
        <v>0</v>
      </c>
      <c r="H35" s="41">
        <f>F35*AO35</f>
        <v>0</v>
      </c>
      <c r="I35" s="41">
        <f>F35*AP35</f>
        <v>0</v>
      </c>
      <c r="J35" s="41">
        <f>F35*G35</f>
        <v>0</v>
      </c>
      <c r="K35" s="13" t="s">
        <v>313</v>
      </c>
      <c r="Z35" s="41">
        <f>IF(AQ35="5",BJ35,0)</f>
        <v>0</v>
      </c>
      <c r="AB35" s="41">
        <f>IF(AQ35="1",BH35,0)</f>
        <v>0</v>
      </c>
      <c r="AC35" s="41">
        <f>IF(AQ35="1",BI35,0)</f>
        <v>0</v>
      </c>
      <c r="AD35" s="41">
        <f>IF(AQ35="7",BH35,0)</f>
        <v>0</v>
      </c>
      <c r="AE35" s="41">
        <f>IF(AQ35="7",BI35,0)</f>
        <v>0</v>
      </c>
      <c r="AF35" s="41">
        <f>IF(AQ35="2",BH35,0)</f>
        <v>0</v>
      </c>
      <c r="AG35" s="41">
        <f>IF(AQ35="2",BI35,0)</f>
        <v>0</v>
      </c>
      <c r="AH35" s="41">
        <f>IF(AQ35="0",BJ35,0)</f>
        <v>0</v>
      </c>
      <c r="AI35" s="8" t="s">
        <v>469</v>
      </c>
      <c r="AJ35" s="41">
        <f>IF(AN35=0,J35,0)</f>
        <v>0</v>
      </c>
      <c r="AK35" s="41">
        <f>IF(AN35=12,J35,0)</f>
        <v>0</v>
      </c>
      <c r="AL35" s="41">
        <f>IF(AN35=21,J35,0)</f>
        <v>0</v>
      </c>
      <c r="AN35" s="41">
        <v>12</v>
      </c>
      <c r="AO35" s="41">
        <f>G35*0.15824295010846</f>
        <v>0</v>
      </c>
      <c r="AP35" s="41">
        <f>G35*(1-0.15824295010846)</f>
        <v>0</v>
      </c>
      <c r="AQ35" s="38" t="s">
        <v>661</v>
      </c>
      <c r="AV35" s="41">
        <f>AW35+AX35</f>
        <v>0</v>
      </c>
      <c r="AW35" s="41">
        <f>F35*AO35</f>
        <v>0</v>
      </c>
      <c r="AX35" s="41">
        <f>F35*AP35</f>
        <v>0</v>
      </c>
      <c r="AY35" s="38" t="s">
        <v>428</v>
      </c>
      <c r="AZ35" s="38" t="s">
        <v>102</v>
      </c>
      <c r="BA35" s="8" t="s">
        <v>518</v>
      </c>
      <c r="BC35" s="41">
        <f>AW35+AX35</f>
        <v>0</v>
      </c>
      <c r="BD35" s="41">
        <f>G35/(100-BE35)*100</f>
        <v>0</v>
      </c>
      <c r="BE35" s="41">
        <v>0</v>
      </c>
      <c r="BF35" s="41">
        <f>35</f>
        <v>35</v>
      </c>
      <c r="BH35" s="41">
        <f>F35*AO35</f>
        <v>0</v>
      </c>
      <c r="BI35" s="41">
        <f>F35*AP35</f>
        <v>0</v>
      </c>
      <c r="BJ35" s="41">
        <f>F35*G35</f>
        <v>0</v>
      </c>
      <c r="BK35" s="41"/>
      <c r="BL35" s="41">
        <v>61</v>
      </c>
      <c r="BW35" s="41">
        <v>12</v>
      </c>
    </row>
    <row r="36" spans="1:75" ht="15" customHeight="1">
      <c r="A36" s="17"/>
      <c r="C36" s="7" t="s">
        <v>309</v>
      </c>
      <c r="D36" s="7" t="s">
        <v>469</v>
      </c>
      <c r="F36" s="52">
        <v>20.5</v>
      </c>
      <c r="K36" s="34"/>
    </row>
    <row r="37" spans="1:75" ht="15" customHeight="1">
      <c r="A37" s="11" t="s">
        <v>469</v>
      </c>
      <c r="B37" s="16" t="s">
        <v>747</v>
      </c>
      <c r="C37" s="79" t="s">
        <v>549</v>
      </c>
      <c r="D37" s="80"/>
      <c r="E37" s="58" t="s">
        <v>619</v>
      </c>
      <c r="F37" s="58" t="s">
        <v>619</v>
      </c>
      <c r="G37" s="58" t="s">
        <v>619</v>
      </c>
      <c r="H37" s="49">
        <f>SUM(H38:H131)</f>
        <v>0</v>
      </c>
      <c r="I37" s="49">
        <f>SUM(I38:I131)</f>
        <v>0</v>
      </c>
      <c r="J37" s="49">
        <f>SUM(J38:J131)</f>
        <v>0</v>
      </c>
      <c r="K37" s="32" t="s">
        <v>469</v>
      </c>
      <c r="AI37" s="8" t="s">
        <v>469</v>
      </c>
      <c r="AS37" s="49">
        <f>SUM(AJ38:AJ131)</f>
        <v>0</v>
      </c>
      <c r="AT37" s="49">
        <f>SUM(AK38:AK131)</f>
        <v>0</v>
      </c>
      <c r="AU37" s="49">
        <f>SUM(AL38:AL131)</f>
        <v>0</v>
      </c>
    </row>
    <row r="38" spans="1:75" ht="13.5" customHeight="1">
      <c r="A38" s="26" t="s">
        <v>529</v>
      </c>
      <c r="B38" s="46" t="s">
        <v>354</v>
      </c>
      <c r="C38" s="66" t="s">
        <v>427</v>
      </c>
      <c r="D38" s="63"/>
      <c r="E38" s="46" t="s">
        <v>556</v>
      </c>
      <c r="F38" s="41">
        <v>50.961750000000002</v>
      </c>
      <c r="G38" s="41">
        <v>0</v>
      </c>
      <c r="H38" s="41">
        <f>F38*AO38</f>
        <v>0</v>
      </c>
      <c r="I38" s="41">
        <f>F38*AP38</f>
        <v>0</v>
      </c>
      <c r="J38" s="41">
        <f>F38*G38</f>
        <v>0</v>
      </c>
      <c r="K38" s="13" t="s">
        <v>313</v>
      </c>
      <c r="Z38" s="41">
        <f>IF(AQ38="5",BJ38,0)</f>
        <v>0</v>
      </c>
      <c r="AB38" s="41">
        <f>IF(AQ38="1",BH38,0)</f>
        <v>0</v>
      </c>
      <c r="AC38" s="41">
        <f>IF(AQ38="1",BI38,0)</f>
        <v>0</v>
      </c>
      <c r="AD38" s="41">
        <f>IF(AQ38="7",BH38,0)</f>
        <v>0</v>
      </c>
      <c r="AE38" s="41">
        <f>IF(AQ38="7",BI38,0)</f>
        <v>0</v>
      </c>
      <c r="AF38" s="41">
        <f>IF(AQ38="2",BH38,0)</f>
        <v>0</v>
      </c>
      <c r="AG38" s="41">
        <f>IF(AQ38="2",BI38,0)</f>
        <v>0</v>
      </c>
      <c r="AH38" s="41">
        <f>IF(AQ38="0",BJ38,0)</f>
        <v>0</v>
      </c>
      <c r="AI38" s="8" t="s">
        <v>469</v>
      </c>
      <c r="AJ38" s="41">
        <f>IF(AN38=0,J38,0)</f>
        <v>0</v>
      </c>
      <c r="AK38" s="41">
        <f>IF(AN38=12,J38,0)</f>
        <v>0</v>
      </c>
      <c r="AL38" s="41">
        <f>IF(AN38=21,J38,0)</f>
        <v>0</v>
      </c>
      <c r="AN38" s="41">
        <v>12</v>
      </c>
      <c r="AO38" s="41">
        <f>G38*0.693192728778897</f>
        <v>0</v>
      </c>
      <c r="AP38" s="41">
        <f>G38*(1-0.693192728778897)</f>
        <v>0</v>
      </c>
      <c r="AQ38" s="38" t="s">
        <v>661</v>
      </c>
      <c r="AV38" s="41">
        <f>AW38+AX38</f>
        <v>0</v>
      </c>
      <c r="AW38" s="41">
        <f>F38*AO38</f>
        <v>0</v>
      </c>
      <c r="AX38" s="41">
        <f>F38*AP38</f>
        <v>0</v>
      </c>
      <c r="AY38" s="38" t="s">
        <v>310</v>
      </c>
      <c r="AZ38" s="38" t="s">
        <v>102</v>
      </c>
      <c r="BA38" s="8" t="s">
        <v>518</v>
      </c>
      <c r="BC38" s="41">
        <f>AW38+AX38</f>
        <v>0</v>
      </c>
      <c r="BD38" s="41">
        <f>G38/(100-BE38)*100</f>
        <v>0</v>
      </c>
      <c r="BE38" s="41">
        <v>0</v>
      </c>
      <c r="BF38" s="41">
        <f>38</f>
        <v>38</v>
      </c>
      <c r="BH38" s="41">
        <f>F38*AO38</f>
        <v>0</v>
      </c>
      <c r="BI38" s="41">
        <f>F38*AP38</f>
        <v>0</v>
      </c>
      <c r="BJ38" s="41">
        <f>F38*G38</f>
        <v>0</v>
      </c>
      <c r="BK38" s="41"/>
      <c r="BL38" s="41">
        <v>62</v>
      </c>
      <c r="BW38" s="41">
        <v>12</v>
      </c>
    </row>
    <row r="39" spans="1:75" ht="15" customHeight="1">
      <c r="A39" s="17"/>
      <c r="C39" s="7" t="s">
        <v>679</v>
      </c>
      <c r="D39" s="7" t="s">
        <v>469</v>
      </c>
      <c r="F39" s="52">
        <v>48.535000000000004</v>
      </c>
      <c r="K39" s="34"/>
    </row>
    <row r="40" spans="1:75" ht="15" customHeight="1">
      <c r="A40" s="17"/>
      <c r="C40" s="7" t="s">
        <v>106</v>
      </c>
      <c r="D40" s="7" t="s">
        <v>469</v>
      </c>
      <c r="F40" s="52">
        <v>2.4267500000000002</v>
      </c>
      <c r="K40" s="34"/>
    </row>
    <row r="41" spans="1:75" ht="13.5" customHeight="1">
      <c r="A41" s="26" t="s">
        <v>264</v>
      </c>
      <c r="B41" s="46" t="s">
        <v>430</v>
      </c>
      <c r="C41" s="66" t="s">
        <v>595</v>
      </c>
      <c r="D41" s="63"/>
      <c r="E41" s="46" t="s">
        <v>556</v>
      </c>
      <c r="F41" s="41">
        <v>4.5465</v>
      </c>
      <c r="G41" s="41">
        <v>0</v>
      </c>
      <c r="H41" s="41">
        <f>F41*AO41</f>
        <v>0</v>
      </c>
      <c r="I41" s="41">
        <f>F41*AP41</f>
        <v>0</v>
      </c>
      <c r="J41" s="41">
        <f>F41*G41</f>
        <v>0</v>
      </c>
      <c r="K41" s="13" t="s">
        <v>313</v>
      </c>
      <c r="Z41" s="41">
        <f>IF(AQ41="5",BJ41,0)</f>
        <v>0</v>
      </c>
      <c r="AB41" s="41">
        <f>IF(AQ41="1",BH41,0)</f>
        <v>0</v>
      </c>
      <c r="AC41" s="41">
        <f>IF(AQ41="1",BI41,0)</f>
        <v>0</v>
      </c>
      <c r="AD41" s="41">
        <f>IF(AQ41="7",BH41,0)</f>
        <v>0</v>
      </c>
      <c r="AE41" s="41">
        <f>IF(AQ41="7",BI41,0)</f>
        <v>0</v>
      </c>
      <c r="AF41" s="41">
        <f>IF(AQ41="2",BH41,0)</f>
        <v>0</v>
      </c>
      <c r="AG41" s="41">
        <f>IF(AQ41="2",BI41,0)</f>
        <v>0</v>
      </c>
      <c r="AH41" s="41">
        <f>IF(AQ41="0",BJ41,0)</f>
        <v>0</v>
      </c>
      <c r="AI41" s="8" t="s">
        <v>469</v>
      </c>
      <c r="AJ41" s="41">
        <f>IF(AN41=0,J41,0)</f>
        <v>0</v>
      </c>
      <c r="AK41" s="41">
        <f>IF(AN41=12,J41,0)</f>
        <v>0</v>
      </c>
      <c r="AL41" s="41">
        <f>IF(AN41=21,J41,0)</f>
        <v>0</v>
      </c>
      <c r="AN41" s="41">
        <v>12</v>
      </c>
      <c r="AO41" s="41">
        <f>G41*0.540397371029159</f>
        <v>0</v>
      </c>
      <c r="AP41" s="41">
        <f>G41*(1-0.540397371029159)</f>
        <v>0</v>
      </c>
      <c r="AQ41" s="38" t="s">
        <v>661</v>
      </c>
      <c r="AV41" s="41">
        <f>AW41+AX41</f>
        <v>0</v>
      </c>
      <c r="AW41" s="41">
        <f>F41*AO41</f>
        <v>0</v>
      </c>
      <c r="AX41" s="41">
        <f>F41*AP41</f>
        <v>0</v>
      </c>
      <c r="AY41" s="38" t="s">
        <v>310</v>
      </c>
      <c r="AZ41" s="38" t="s">
        <v>102</v>
      </c>
      <c r="BA41" s="8" t="s">
        <v>518</v>
      </c>
      <c r="BC41" s="41">
        <f>AW41+AX41</f>
        <v>0</v>
      </c>
      <c r="BD41" s="41">
        <f>G41/(100-BE41)*100</f>
        <v>0</v>
      </c>
      <c r="BE41" s="41">
        <v>0</v>
      </c>
      <c r="BF41" s="41">
        <f>41</f>
        <v>41</v>
      </c>
      <c r="BH41" s="41">
        <f>F41*AO41</f>
        <v>0</v>
      </c>
      <c r="BI41" s="41">
        <f>F41*AP41</f>
        <v>0</v>
      </c>
      <c r="BJ41" s="41">
        <f>F41*G41</f>
        <v>0</v>
      </c>
      <c r="BK41" s="41"/>
      <c r="BL41" s="41">
        <v>62</v>
      </c>
      <c r="BW41" s="41">
        <v>12</v>
      </c>
    </row>
    <row r="42" spans="1:75" ht="15" customHeight="1">
      <c r="A42" s="17"/>
      <c r="C42" s="7" t="s">
        <v>234</v>
      </c>
      <c r="D42" s="7" t="s">
        <v>469</v>
      </c>
      <c r="F42" s="52">
        <v>4.33</v>
      </c>
      <c r="K42" s="34"/>
    </row>
    <row r="43" spans="1:75" ht="15" customHeight="1">
      <c r="A43" s="17"/>
      <c r="C43" s="7" t="s">
        <v>447</v>
      </c>
      <c r="D43" s="7" t="s">
        <v>469</v>
      </c>
      <c r="F43" s="52">
        <v>0.21650000000000003</v>
      </c>
      <c r="K43" s="34"/>
    </row>
    <row r="44" spans="1:75" ht="13.5" customHeight="1">
      <c r="A44" s="26" t="s">
        <v>393</v>
      </c>
      <c r="B44" s="46" t="s">
        <v>378</v>
      </c>
      <c r="C44" s="66" t="s">
        <v>445</v>
      </c>
      <c r="D44" s="63"/>
      <c r="E44" s="46" t="s">
        <v>654</v>
      </c>
      <c r="F44" s="41">
        <v>45.000059999999998</v>
      </c>
      <c r="G44" s="41">
        <v>0</v>
      </c>
      <c r="H44" s="41">
        <f>F44*AO44</f>
        <v>0</v>
      </c>
      <c r="I44" s="41">
        <f>F44*AP44</f>
        <v>0</v>
      </c>
      <c r="J44" s="41">
        <f>F44*G44</f>
        <v>0</v>
      </c>
      <c r="K44" s="13" t="s">
        <v>313</v>
      </c>
      <c r="Z44" s="41">
        <f>IF(AQ44="5",BJ44,0)</f>
        <v>0</v>
      </c>
      <c r="AB44" s="41">
        <f>IF(AQ44="1",BH44,0)</f>
        <v>0</v>
      </c>
      <c r="AC44" s="41">
        <f>IF(AQ44="1",BI44,0)</f>
        <v>0</v>
      </c>
      <c r="AD44" s="41">
        <f>IF(AQ44="7",BH44,0)</f>
        <v>0</v>
      </c>
      <c r="AE44" s="41">
        <f>IF(AQ44="7",BI44,0)</f>
        <v>0</v>
      </c>
      <c r="AF44" s="41">
        <f>IF(AQ44="2",BH44,0)</f>
        <v>0</v>
      </c>
      <c r="AG44" s="41">
        <f>IF(AQ44="2",BI44,0)</f>
        <v>0</v>
      </c>
      <c r="AH44" s="41">
        <f>IF(AQ44="0",BJ44,0)</f>
        <v>0</v>
      </c>
      <c r="AI44" s="8" t="s">
        <v>469</v>
      </c>
      <c r="AJ44" s="41">
        <f>IF(AN44=0,J44,0)</f>
        <v>0</v>
      </c>
      <c r="AK44" s="41">
        <f>IF(AN44=12,J44,0)</f>
        <v>0</v>
      </c>
      <c r="AL44" s="41">
        <f>IF(AN44=21,J44,0)</f>
        <v>0</v>
      </c>
      <c r="AN44" s="41">
        <v>12</v>
      </c>
      <c r="AO44" s="41">
        <f>G44*0.727326263768342</f>
        <v>0</v>
      </c>
      <c r="AP44" s="41">
        <f>G44*(1-0.727326263768342)</f>
        <v>0</v>
      </c>
      <c r="AQ44" s="38" t="s">
        <v>661</v>
      </c>
      <c r="AV44" s="41">
        <f>AW44+AX44</f>
        <v>0</v>
      </c>
      <c r="AW44" s="41">
        <f>F44*AO44</f>
        <v>0</v>
      </c>
      <c r="AX44" s="41">
        <f>F44*AP44</f>
        <v>0</v>
      </c>
      <c r="AY44" s="38" t="s">
        <v>310</v>
      </c>
      <c r="AZ44" s="38" t="s">
        <v>102</v>
      </c>
      <c r="BA44" s="8" t="s">
        <v>518</v>
      </c>
      <c r="BC44" s="41">
        <f>AW44+AX44</f>
        <v>0</v>
      </c>
      <c r="BD44" s="41">
        <f>G44/(100-BE44)*100</f>
        <v>0</v>
      </c>
      <c r="BE44" s="41">
        <v>0</v>
      </c>
      <c r="BF44" s="41">
        <f>44</f>
        <v>44</v>
      </c>
      <c r="BH44" s="41">
        <f>F44*AO44</f>
        <v>0</v>
      </c>
      <c r="BI44" s="41">
        <f>F44*AP44</f>
        <v>0</v>
      </c>
      <c r="BJ44" s="41">
        <f>F44*G44</f>
        <v>0</v>
      </c>
      <c r="BK44" s="41"/>
      <c r="BL44" s="41">
        <v>62</v>
      </c>
      <c r="BW44" s="41">
        <v>12</v>
      </c>
    </row>
    <row r="45" spans="1:75" ht="15" customHeight="1">
      <c r="A45" s="17"/>
      <c r="C45" s="7" t="s">
        <v>216</v>
      </c>
      <c r="D45" s="7" t="s">
        <v>469</v>
      </c>
      <c r="F45" s="52">
        <v>11.176200000000001</v>
      </c>
      <c r="K45" s="34"/>
    </row>
    <row r="46" spans="1:75" ht="15" customHeight="1">
      <c r="A46" s="17"/>
      <c r="C46" s="7" t="s">
        <v>392</v>
      </c>
      <c r="D46" s="7" t="s">
        <v>469</v>
      </c>
      <c r="F46" s="52">
        <v>11.181000000000001</v>
      </c>
      <c r="K46" s="34"/>
    </row>
    <row r="47" spans="1:75" ht="15" customHeight="1">
      <c r="A47" s="17"/>
      <c r="C47" s="7" t="s">
        <v>270</v>
      </c>
      <c r="D47" s="7" t="s">
        <v>469</v>
      </c>
      <c r="F47" s="52">
        <v>10</v>
      </c>
      <c r="K47" s="34"/>
    </row>
    <row r="48" spans="1:75" ht="15" customHeight="1">
      <c r="A48" s="17"/>
      <c r="C48" s="7" t="s">
        <v>606</v>
      </c>
      <c r="D48" s="7" t="s">
        <v>469</v>
      </c>
      <c r="F48" s="52">
        <v>10.5</v>
      </c>
      <c r="K48" s="34"/>
    </row>
    <row r="49" spans="1:75" ht="15" customHeight="1">
      <c r="A49" s="17"/>
      <c r="C49" s="7" t="s">
        <v>583</v>
      </c>
      <c r="D49" s="7" t="s">
        <v>469</v>
      </c>
      <c r="F49" s="52">
        <v>2.1428600000000002</v>
      </c>
      <c r="K49" s="34"/>
    </row>
    <row r="50" spans="1:75" ht="13.5" customHeight="1">
      <c r="A50" s="26" t="s">
        <v>558</v>
      </c>
      <c r="B50" s="46" t="s">
        <v>342</v>
      </c>
      <c r="C50" s="66" t="s">
        <v>15</v>
      </c>
      <c r="D50" s="63"/>
      <c r="E50" s="46" t="s">
        <v>654</v>
      </c>
      <c r="F50" s="41">
        <v>4.2866999999999997</v>
      </c>
      <c r="G50" s="41">
        <v>0</v>
      </c>
      <c r="H50" s="41">
        <f>F50*AO50</f>
        <v>0</v>
      </c>
      <c r="I50" s="41">
        <f>F50*AP50</f>
        <v>0</v>
      </c>
      <c r="J50" s="41">
        <f>F50*G50</f>
        <v>0</v>
      </c>
      <c r="K50" s="13" t="s">
        <v>313</v>
      </c>
      <c r="Z50" s="41">
        <f>IF(AQ50="5",BJ50,0)</f>
        <v>0</v>
      </c>
      <c r="AB50" s="41">
        <f>IF(AQ50="1",BH50,0)</f>
        <v>0</v>
      </c>
      <c r="AC50" s="41">
        <f>IF(AQ50="1",BI50,0)</f>
        <v>0</v>
      </c>
      <c r="AD50" s="41">
        <f>IF(AQ50="7",BH50,0)</f>
        <v>0</v>
      </c>
      <c r="AE50" s="41">
        <f>IF(AQ50="7",BI50,0)</f>
        <v>0</v>
      </c>
      <c r="AF50" s="41">
        <f>IF(AQ50="2",BH50,0)</f>
        <v>0</v>
      </c>
      <c r="AG50" s="41">
        <f>IF(AQ50="2",BI50,0)</f>
        <v>0</v>
      </c>
      <c r="AH50" s="41">
        <f>IF(AQ50="0",BJ50,0)</f>
        <v>0</v>
      </c>
      <c r="AI50" s="8" t="s">
        <v>469</v>
      </c>
      <c r="AJ50" s="41">
        <f>IF(AN50=0,J50,0)</f>
        <v>0</v>
      </c>
      <c r="AK50" s="41">
        <f>IF(AN50=12,J50,0)</f>
        <v>0</v>
      </c>
      <c r="AL50" s="41">
        <f>IF(AN50=21,J50,0)</f>
        <v>0</v>
      </c>
      <c r="AN50" s="41">
        <v>12</v>
      </c>
      <c r="AO50" s="41">
        <f>G50*0.597092239045054</f>
        <v>0</v>
      </c>
      <c r="AP50" s="41">
        <f>G50*(1-0.597092239045054)</f>
        <v>0</v>
      </c>
      <c r="AQ50" s="38" t="s">
        <v>661</v>
      </c>
      <c r="AV50" s="41">
        <f>AW50+AX50</f>
        <v>0</v>
      </c>
      <c r="AW50" s="41">
        <f>F50*AO50</f>
        <v>0</v>
      </c>
      <c r="AX50" s="41">
        <f>F50*AP50</f>
        <v>0</v>
      </c>
      <c r="AY50" s="38" t="s">
        <v>310</v>
      </c>
      <c r="AZ50" s="38" t="s">
        <v>102</v>
      </c>
      <c r="BA50" s="8" t="s">
        <v>518</v>
      </c>
      <c r="BC50" s="41">
        <f>AW50+AX50</f>
        <v>0</v>
      </c>
      <c r="BD50" s="41">
        <f>G50/(100-BE50)*100</f>
        <v>0</v>
      </c>
      <c r="BE50" s="41">
        <v>0</v>
      </c>
      <c r="BF50" s="41">
        <f>50</f>
        <v>50</v>
      </c>
      <c r="BH50" s="41">
        <f>F50*AO50</f>
        <v>0</v>
      </c>
      <c r="BI50" s="41">
        <f>F50*AP50</f>
        <v>0</v>
      </c>
      <c r="BJ50" s="41">
        <f>F50*G50</f>
        <v>0</v>
      </c>
      <c r="BK50" s="41"/>
      <c r="BL50" s="41">
        <v>62</v>
      </c>
      <c r="BW50" s="41">
        <v>12</v>
      </c>
    </row>
    <row r="51" spans="1:75" ht="15" customHeight="1">
      <c r="A51" s="17"/>
      <c r="C51" s="7" t="s">
        <v>128</v>
      </c>
      <c r="D51" s="7" t="s">
        <v>469</v>
      </c>
      <c r="F51" s="52">
        <v>3.8970000000000002</v>
      </c>
      <c r="K51" s="34"/>
    </row>
    <row r="52" spans="1:75" ht="15" customHeight="1">
      <c r="A52" s="17"/>
      <c r="C52" s="7" t="s">
        <v>510</v>
      </c>
      <c r="D52" s="7" t="s">
        <v>469</v>
      </c>
      <c r="F52" s="52">
        <v>0.38970000000000005</v>
      </c>
      <c r="K52" s="34"/>
    </row>
    <row r="53" spans="1:75" ht="13.5" customHeight="1">
      <c r="A53" s="26" t="s">
        <v>497</v>
      </c>
      <c r="B53" s="46" t="s">
        <v>299</v>
      </c>
      <c r="C53" s="66" t="s">
        <v>564</v>
      </c>
      <c r="D53" s="63"/>
      <c r="E53" s="46" t="s">
        <v>654</v>
      </c>
      <c r="F53" s="41">
        <v>0.36135</v>
      </c>
      <c r="G53" s="41">
        <v>0</v>
      </c>
      <c r="H53" s="41">
        <f>F53*AO53</f>
        <v>0</v>
      </c>
      <c r="I53" s="41">
        <f>F53*AP53</f>
        <v>0</v>
      </c>
      <c r="J53" s="41">
        <f>F53*G53</f>
        <v>0</v>
      </c>
      <c r="K53" s="13" t="s">
        <v>313</v>
      </c>
      <c r="Z53" s="41">
        <f>IF(AQ53="5",BJ53,0)</f>
        <v>0</v>
      </c>
      <c r="AB53" s="41">
        <f>IF(AQ53="1",BH53,0)</f>
        <v>0</v>
      </c>
      <c r="AC53" s="41">
        <f>IF(AQ53="1",BI53,0)</f>
        <v>0</v>
      </c>
      <c r="AD53" s="41">
        <f>IF(AQ53="7",BH53,0)</f>
        <v>0</v>
      </c>
      <c r="AE53" s="41">
        <f>IF(AQ53="7",BI53,0)</f>
        <v>0</v>
      </c>
      <c r="AF53" s="41">
        <f>IF(AQ53="2",BH53,0)</f>
        <v>0</v>
      </c>
      <c r="AG53" s="41">
        <f>IF(AQ53="2",BI53,0)</f>
        <v>0</v>
      </c>
      <c r="AH53" s="41">
        <f>IF(AQ53="0",BJ53,0)</f>
        <v>0</v>
      </c>
      <c r="AI53" s="8" t="s">
        <v>469</v>
      </c>
      <c r="AJ53" s="41">
        <f>IF(AN53=0,J53,0)</f>
        <v>0</v>
      </c>
      <c r="AK53" s="41">
        <f>IF(AN53=12,J53,0)</f>
        <v>0</v>
      </c>
      <c r="AL53" s="41">
        <f>IF(AN53=21,J53,0)</f>
        <v>0</v>
      </c>
      <c r="AN53" s="41">
        <v>12</v>
      </c>
      <c r="AO53" s="41">
        <f>G53*0.404256410394073</f>
        <v>0</v>
      </c>
      <c r="AP53" s="41">
        <f>G53*(1-0.404256410394073)</f>
        <v>0</v>
      </c>
      <c r="AQ53" s="38" t="s">
        <v>661</v>
      </c>
      <c r="AV53" s="41">
        <f>AW53+AX53</f>
        <v>0</v>
      </c>
      <c r="AW53" s="41">
        <f>F53*AO53</f>
        <v>0</v>
      </c>
      <c r="AX53" s="41">
        <f>F53*AP53</f>
        <v>0</v>
      </c>
      <c r="AY53" s="38" t="s">
        <v>310</v>
      </c>
      <c r="AZ53" s="38" t="s">
        <v>102</v>
      </c>
      <c r="BA53" s="8" t="s">
        <v>518</v>
      </c>
      <c r="BC53" s="41">
        <f>AW53+AX53</f>
        <v>0</v>
      </c>
      <c r="BD53" s="41">
        <f>G53/(100-BE53)*100</f>
        <v>0</v>
      </c>
      <c r="BE53" s="41">
        <v>0</v>
      </c>
      <c r="BF53" s="41">
        <f>53</f>
        <v>53</v>
      </c>
      <c r="BH53" s="41">
        <f>F53*AO53</f>
        <v>0</v>
      </c>
      <c r="BI53" s="41">
        <f>F53*AP53</f>
        <v>0</v>
      </c>
      <c r="BJ53" s="41">
        <f>F53*G53</f>
        <v>0</v>
      </c>
      <c r="BK53" s="41"/>
      <c r="BL53" s="41">
        <v>62</v>
      </c>
      <c r="BW53" s="41">
        <v>12</v>
      </c>
    </row>
    <row r="54" spans="1:75" ht="15" customHeight="1">
      <c r="A54" s="17"/>
      <c r="C54" s="7" t="s">
        <v>455</v>
      </c>
      <c r="D54" s="7" t="s">
        <v>469</v>
      </c>
      <c r="F54" s="52">
        <v>0.32850000000000001</v>
      </c>
      <c r="K54" s="34"/>
    </row>
    <row r="55" spans="1:75" ht="15" customHeight="1">
      <c r="A55" s="17"/>
      <c r="C55" s="7" t="s">
        <v>38</v>
      </c>
      <c r="D55" s="7" t="s">
        <v>469</v>
      </c>
      <c r="F55" s="52">
        <v>3.2850000000000004E-2</v>
      </c>
      <c r="K55" s="34"/>
    </row>
    <row r="56" spans="1:75" ht="13.5" customHeight="1">
      <c r="A56" s="26" t="s">
        <v>213</v>
      </c>
      <c r="B56" s="46" t="s">
        <v>320</v>
      </c>
      <c r="C56" s="66" t="s">
        <v>153</v>
      </c>
      <c r="D56" s="63"/>
      <c r="E56" s="46" t="s">
        <v>654</v>
      </c>
      <c r="F56" s="41">
        <v>12.916689999999999</v>
      </c>
      <c r="G56" s="41">
        <v>0</v>
      </c>
      <c r="H56" s="41">
        <f>F56*AO56</f>
        <v>0</v>
      </c>
      <c r="I56" s="41">
        <f>F56*AP56</f>
        <v>0</v>
      </c>
      <c r="J56" s="41">
        <f>F56*G56</f>
        <v>0</v>
      </c>
      <c r="K56" s="13" t="s">
        <v>313</v>
      </c>
      <c r="Z56" s="41">
        <f>IF(AQ56="5",BJ56,0)</f>
        <v>0</v>
      </c>
      <c r="AB56" s="41">
        <f>IF(AQ56="1",BH56,0)</f>
        <v>0</v>
      </c>
      <c r="AC56" s="41">
        <f>IF(AQ56="1",BI56,0)</f>
        <v>0</v>
      </c>
      <c r="AD56" s="41">
        <f>IF(AQ56="7",BH56,0)</f>
        <v>0</v>
      </c>
      <c r="AE56" s="41">
        <f>IF(AQ56="7",BI56,0)</f>
        <v>0</v>
      </c>
      <c r="AF56" s="41">
        <f>IF(AQ56="2",BH56,0)</f>
        <v>0</v>
      </c>
      <c r="AG56" s="41">
        <f>IF(AQ56="2",BI56,0)</f>
        <v>0</v>
      </c>
      <c r="AH56" s="41">
        <f>IF(AQ56="0",BJ56,0)</f>
        <v>0</v>
      </c>
      <c r="AI56" s="8" t="s">
        <v>469</v>
      </c>
      <c r="AJ56" s="41">
        <f>IF(AN56=0,J56,0)</f>
        <v>0</v>
      </c>
      <c r="AK56" s="41">
        <f>IF(AN56=12,J56,0)</f>
        <v>0</v>
      </c>
      <c r="AL56" s="41">
        <f>IF(AN56=21,J56,0)</f>
        <v>0</v>
      </c>
      <c r="AN56" s="41">
        <v>12</v>
      </c>
      <c r="AO56" s="41">
        <f>G56*0.33555219476646</f>
        <v>0</v>
      </c>
      <c r="AP56" s="41">
        <f>G56*(1-0.33555219476646)</f>
        <v>0</v>
      </c>
      <c r="AQ56" s="38" t="s">
        <v>661</v>
      </c>
      <c r="AV56" s="41">
        <f>AW56+AX56</f>
        <v>0</v>
      </c>
      <c r="AW56" s="41">
        <f>F56*AO56</f>
        <v>0</v>
      </c>
      <c r="AX56" s="41">
        <f>F56*AP56</f>
        <v>0</v>
      </c>
      <c r="AY56" s="38" t="s">
        <v>310</v>
      </c>
      <c r="AZ56" s="38" t="s">
        <v>102</v>
      </c>
      <c r="BA56" s="8" t="s">
        <v>518</v>
      </c>
      <c r="BC56" s="41">
        <f>AW56+AX56</f>
        <v>0</v>
      </c>
      <c r="BD56" s="41">
        <f>G56/(100-BE56)*100</f>
        <v>0</v>
      </c>
      <c r="BE56" s="41">
        <v>0</v>
      </c>
      <c r="BF56" s="41">
        <f>56</f>
        <v>56</v>
      </c>
      <c r="BH56" s="41">
        <f>F56*AO56</f>
        <v>0</v>
      </c>
      <c r="BI56" s="41">
        <f>F56*AP56</f>
        <v>0</v>
      </c>
      <c r="BJ56" s="41">
        <f>F56*G56</f>
        <v>0</v>
      </c>
      <c r="BK56" s="41"/>
      <c r="BL56" s="41">
        <v>62</v>
      </c>
      <c r="BW56" s="41">
        <v>12</v>
      </c>
    </row>
    <row r="57" spans="1:75" ht="15" customHeight="1">
      <c r="A57" s="17"/>
      <c r="C57" s="7" t="s">
        <v>553</v>
      </c>
      <c r="D57" s="7" t="s">
        <v>469</v>
      </c>
      <c r="F57" s="52">
        <v>4.4268000000000001</v>
      </c>
      <c r="K57" s="34"/>
    </row>
    <row r="58" spans="1:75" ht="15" customHeight="1">
      <c r="A58" s="17"/>
      <c r="C58" s="7" t="s">
        <v>159</v>
      </c>
      <c r="D58" s="7" t="s">
        <v>469</v>
      </c>
      <c r="F58" s="52">
        <v>3.3173500000000002</v>
      </c>
      <c r="K58" s="34"/>
    </row>
    <row r="59" spans="1:75" ht="15" customHeight="1">
      <c r="A59" s="17"/>
      <c r="C59" s="7" t="s">
        <v>384</v>
      </c>
      <c r="D59" s="7" t="s">
        <v>469</v>
      </c>
      <c r="F59" s="52">
        <v>2.3150000000000004</v>
      </c>
      <c r="K59" s="34"/>
    </row>
    <row r="60" spans="1:75" ht="15" customHeight="1">
      <c r="A60" s="17"/>
      <c r="C60" s="7" t="s">
        <v>389</v>
      </c>
      <c r="D60" s="7" t="s">
        <v>469</v>
      </c>
      <c r="F60" s="52">
        <v>1.6833000000000002</v>
      </c>
      <c r="K60" s="34"/>
    </row>
    <row r="61" spans="1:75" ht="15" customHeight="1">
      <c r="A61" s="17"/>
      <c r="C61" s="7" t="s">
        <v>294</v>
      </c>
      <c r="D61" s="7" t="s">
        <v>469</v>
      </c>
      <c r="F61" s="52">
        <v>1.1742400000000002</v>
      </c>
      <c r="K61" s="34"/>
    </row>
    <row r="62" spans="1:75" ht="27" customHeight="1">
      <c r="A62" s="26" t="s">
        <v>399</v>
      </c>
      <c r="B62" s="46" t="s">
        <v>24</v>
      </c>
      <c r="C62" s="66" t="s">
        <v>189</v>
      </c>
      <c r="D62" s="63"/>
      <c r="E62" s="46" t="s">
        <v>654</v>
      </c>
      <c r="F62" s="41">
        <v>381.38099999999997</v>
      </c>
      <c r="G62" s="41">
        <v>0</v>
      </c>
      <c r="H62" s="41">
        <f>F62*AO62</f>
        <v>0</v>
      </c>
      <c r="I62" s="41">
        <f>F62*AP62</f>
        <v>0</v>
      </c>
      <c r="J62" s="41">
        <f>F62*G62</f>
        <v>0</v>
      </c>
      <c r="K62" s="13" t="s">
        <v>313</v>
      </c>
      <c r="Z62" s="41">
        <f>IF(AQ62="5",BJ62,0)</f>
        <v>0</v>
      </c>
      <c r="AB62" s="41">
        <f>IF(AQ62="1",BH62,0)</f>
        <v>0</v>
      </c>
      <c r="AC62" s="41">
        <f>IF(AQ62="1",BI62,0)</f>
        <v>0</v>
      </c>
      <c r="AD62" s="41">
        <f>IF(AQ62="7",BH62,0)</f>
        <v>0</v>
      </c>
      <c r="AE62" s="41">
        <f>IF(AQ62="7",BI62,0)</f>
        <v>0</v>
      </c>
      <c r="AF62" s="41">
        <f>IF(AQ62="2",BH62,0)</f>
        <v>0</v>
      </c>
      <c r="AG62" s="41">
        <f>IF(AQ62="2",BI62,0)</f>
        <v>0</v>
      </c>
      <c r="AH62" s="41">
        <f>IF(AQ62="0",BJ62,0)</f>
        <v>0</v>
      </c>
      <c r="AI62" s="8" t="s">
        <v>469</v>
      </c>
      <c r="AJ62" s="41">
        <f>IF(AN62=0,J62,0)</f>
        <v>0</v>
      </c>
      <c r="AK62" s="41">
        <f>IF(AN62=12,J62,0)</f>
        <v>0</v>
      </c>
      <c r="AL62" s="41">
        <f>IF(AN62=21,J62,0)</f>
        <v>0</v>
      </c>
      <c r="AN62" s="41">
        <v>12</v>
      </c>
      <c r="AO62" s="41">
        <f>G62*0.574789156626506</f>
        <v>0</v>
      </c>
      <c r="AP62" s="41">
        <f>G62*(1-0.574789156626506)</f>
        <v>0</v>
      </c>
      <c r="AQ62" s="38" t="s">
        <v>661</v>
      </c>
      <c r="AV62" s="41">
        <f>AW62+AX62</f>
        <v>0</v>
      </c>
      <c r="AW62" s="41">
        <f>F62*AO62</f>
        <v>0</v>
      </c>
      <c r="AX62" s="41">
        <f>F62*AP62</f>
        <v>0</v>
      </c>
      <c r="AY62" s="38" t="s">
        <v>310</v>
      </c>
      <c r="AZ62" s="38" t="s">
        <v>102</v>
      </c>
      <c r="BA62" s="8" t="s">
        <v>518</v>
      </c>
      <c r="BC62" s="41">
        <f>AW62+AX62</f>
        <v>0</v>
      </c>
      <c r="BD62" s="41">
        <f>G62/(100-BE62)*100</f>
        <v>0</v>
      </c>
      <c r="BE62" s="41">
        <v>0</v>
      </c>
      <c r="BF62" s="41">
        <f>62</f>
        <v>62</v>
      </c>
      <c r="BH62" s="41">
        <f>F62*AO62</f>
        <v>0</v>
      </c>
      <c r="BI62" s="41">
        <f>F62*AP62</f>
        <v>0</v>
      </c>
      <c r="BJ62" s="41">
        <f>F62*G62</f>
        <v>0</v>
      </c>
      <c r="BK62" s="41"/>
      <c r="BL62" s="41">
        <v>62</v>
      </c>
      <c r="BW62" s="41">
        <v>12</v>
      </c>
    </row>
    <row r="63" spans="1:75" ht="15" customHeight="1">
      <c r="A63" s="17"/>
      <c r="C63" s="7" t="s">
        <v>14</v>
      </c>
      <c r="D63" s="7" t="s">
        <v>469</v>
      </c>
      <c r="F63" s="52">
        <v>88.800000000000011</v>
      </c>
      <c r="K63" s="34"/>
    </row>
    <row r="64" spans="1:75" ht="15" customHeight="1">
      <c r="A64" s="17"/>
      <c r="C64" s="7" t="s">
        <v>618</v>
      </c>
      <c r="D64" s="7" t="s">
        <v>469</v>
      </c>
      <c r="F64" s="52">
        <v>85.02000000000001</v>
      </c>
      <c r="K64" s="34"/>
    </row>
    <row r="65" spans="1:75" ht="15" customHeight="1">
      <c r="A65" s="17"/>
      <c r="C65" s="7" t="s">
        <v>692</v>
      </c>
      <c r="D65" s="7" t="s">
        <v>469</v>
      </c>
      <c r="F65" s="52">
        <v>95.500000000000014</v>
      </c>
      <c r="K65" s="34"/>
    </row>
    <row r="66" spans="1:75" ht="15" customHeight="1">
      <c r="A66" s="17"/>
      <c r="C66" s="7" t="s">
        <v>107</v>
      </c>
      <c r="D66" s="7" t="s">
        <v>469</v>
      </c>
      <c r="F66" s="52">
        <v>93.9</v>
      </c>
      <c r="K66" s="34"/>
    </row>
    <row r="67" spans="1:75" ht="15" customHeight="1">
      <c r="A67" s="17"/>
      <c r="C67" s="7" t="s">
        <v>43</v>
      </c>
      <c r="D67" s="7" t="s">
        <v>469</v>
      </c>
      <c r="F67" s="52">
        <v>18.161000000000001</v>
      </c>
      <c r="K67" s="34"/>
    </row>
    <row r="68" spans="1:75" ht="27" customHeight="1">
      <c r="A68" s="26" t="s">
        <v>269</v>
      </c>
      <c r="B68" s="46" t="s">
        <v>121</v>
      </c>
      <c r="C68" s="66" t="s">
        <v>478</v>
      </c>
      <c r="D68" s="63"/>
      <c r="E68" s="46" t="s">
        <v>654</v>
      </c>
      <c r="F68" s="41">
        <v>9.2698099999999997</v>
      </c>
      <c r="G68" s="41">
        <v>0</v>
      </c>
      <c r="H68" s="41">
        <f>F68*AO68</f>
        <v>0</v>
      </c>
      <c r="I68" s="41">
        <f>F68*AP68</f>
        <v>0</v>
      </c>
      <c r="J68" s="41">
        <f>F68*G68</f>
        <v>0</v>
      </c>
      <c r="K68" s="13" t="s">
        <v>313</v>
      </c>
      <c r="Z68" s="41">
        <f>IF(AQ68="5",BJ68,0)</f>
        <v>0</v>
      </c>
      <c r="AB68" s="41">
        <f>IF(AQ68="1",BH68,0)</f>
        <v>0</v>
      </c>
      <c r="AC68" s="41">
        <f>IF(AQ68="1",BI68,0)</f>
        <v>0</v>
      </c>
      <c r="AD68" s="41">
        <f>IF(AQ68="7",BH68,0)</f>
        <v>0</v>
      </c>
      <c r="AE68" s="41">
        <f>IF(AQ68="7",BI68,0)</f>
        <v>0</v>
      </c>
      <c r="AF68" s="41">
        <f>IF(AQ68="2",BH68,0)</f>
        <v>0</v>
      </c>
      <c r="AG68" s="41">
        <f>IF(AQ68="2",BI68,0)</f>
        <v>0</v>
      </c>
      <c r="AH68" s="41">
        <f>IF(AQ68="0",BJ68,0)</f>
        <v>0</v>
      </c>
      <c r="AI68" s="8" t="s">
        <v>469</v>
      </c>
      <c r="AJ68" s="41">
        <f>IF(AN68=0,J68,0)</f>
        <v>0</v>
      </c>
      <c r="AK68" s="41">
        <f>IF(AN68=12,J68,0)</f>
        <v>0</v>
      </c>
      <c r="AL68" s="41">
        <f>IF(AN68=21,J68,0)</f>
        <v>0</v>
      </c>
      <c r="AN68" s="41">
        <v>12</v>
      </c>
      <c r="AO68" s="41">
        <f>G68*0.463639816108933</f>
        <v>0</v>
      </c>
      <c r="AP68" s="41">
        <f>G68*(1-0.463639816108933)</f>
        <v>0</v>
      </c>
      <c r="AQ68" s="38" t="s">
        <v>661</v>
      </c>
      <c r="AV68" s="41">
        <f>AW68+AX68</f>
        <v>0</v>
      </c>
      <c r="AW68" s="41">
        <f>F68*AO68</f>
        <v>0</v>
      </c>
      <c r="AX68" s="41">
        <f>F68*AP68</f>
        <v>0</v>
      </c>
      <c r="AY68" s="38" t="s">
        <v>310</v>
      </c>
      <c r="AZ68" s="38" t="s">
        <v>102</v>
      </c>
      <c r="BA68" s="8" t="s">
        <v>518</v>
      </c>
      <c r="BC68" s="41">
        <f>AW68+AX68</f>
        <v>0</v>
      </c>
      <c r="BD68" s="41">
        <f>G68/(100-BE68)*100</f>
        <v>0</v>
      </c>
      <c r="BE68" s="41">
        <v>0</v>
      </c>
      <c r="BF68" s="41">
        <f>68</f>
        <v>68</v>
      </c>
      <c r="BH68" s="41">
        <f>F68*AO68</f>
        <v>0</v>
      </c>
      <c r="BI68" s="41">
        <f>F68*AP68</f>
        <v>0</v>
      </c>
      <c r="BJ68" s="41">
        <f>F68*G68</f>
        <v>0</v>
      </c>
      <c r="BK68" s="41"/>
      <c r="BL68" s="41">
        <v>62</v>
      </c>
      <c r="BW68" s="41">
        <v>12</v>
      </c>
    </row>
    <row r="69" spans="1:75" ht="15" customHeight="1">
      <c r="A69" s="17"/>
      <c r="C69" s="7" t="s">
        <v>541</v>
      </c>
      <c r="D69" s="7" t="s">
        <v>469</v>
      </c>
      <c r="F69" s="52">
        <v>7.5006000000000004</v>
      </c>
      <c r="K69" s="34"/>
    </row>
    <row r="70" spans="1:75" ht="15" customHeight="1">
      <c r="A70" s="17"/>
      <c r="C70" s="7" t="s">
        <v>750</v>
      </c>
      <c r="D70" s="7" t="s">
        <v>469</v>
      </c>
      <c r="F70" s="52">
        <v>0.9265000000000001</v>
      </c>
      <c r="K70" s="34"/>
    </row>
    <row r="71" spans="1:75" ht="15" customHeight="1">
      <c r="A71" s="17"/>
      <c r="C71" s="7" t="s">
        <v>26</v>
      </c>
      <c r="D71" s="7" t="s">
        <v>469</v>
      </c>
      <c r="F71" s="52">
        <v>0.84271000000000007</v>
      </c>
      <c r="K71" s="34"/>
    </row>
    <row r="72" spans="1:75" ht="13.5" customHeight="1">
      <c r="A72" s="26" t="s">
        <v>74</v>
      </c>
      <c r="B72" s="46" t="s">
        <v>112</v>
      </c>
      <c r="C72" s="66" t="s">
        <v>712</v>
      </c>
      <c r="D72" s="63"/>
      <c r="E72" s="46" t="s">
        <v>654</v>
      </c>
      <c r="F72" s="41">
        <v>24.630099999999999</v>
      </c>
      <c r="G72" s="41">
        <v>0</v>
      </c>
      <c r="H72" s="41">
        <f>F72*AO72</f>
        <v>0</v>
      </c>
      <c r="I72" s="41">
        <f>F72*AP72</f>
        <v>0</v>
      </c>
      <c r="J72" s="41">
        <f>F72*G72</f>
        <v>0</v>
      </c>
      <c r="K72" s="13" t="s">
        <v>313</v>
      </c>
      <c r="Z72" s="41">
        <f>IF(AQ72="5",BJ72,0)</f>
        <v>0</v>
      </c>
      <c r="AB72" s="41">
        <f>IF(AQ72="1",BH72,0)</f>
        <v>0</v>
      </c>
      <c r="AC72" s="41">
        <f>IF(AQ72="1",BI72,0)</f>
        <v>0</v>
      </c>
      <c r="AD72" s="41">
        <f>IF(AQ72="7",BH72,0)</f>
        <v>0</v>
      </c>
      <c r="AE72" s="41">
        <f>IF(AQ72="7",BI72,0)</f>
        <v>0</v>
      </c>
      <c r="AF72" s="41">
        <f>IF(AQ72="2",BH72,0)</f>
        <v>0</v>
      </c>
      <c r="AG72" s="41">
        <f>IF(AQ72="2",BI72,0)</f>
        <v>0</v>
      </c>
      <c r="AH72" s="41">
        <f>IF(AQ72="0",BJ72,0)</f>
        <v>0</v>
      </c>
      <c r="AI72" s="8" t="s">
        <v>469</v>
      </c>
      <c r="AJ72" s="41">
        <f>IF(AN72=0,J72,0)</f>
        <v>0</v>
      </c>
      <c r="AK72" s="41">
        <f>IF(AN72=12,J72,0)</f>
        <v>0</v>
      </c>
      <c r="AL72" s="41">
        <f>IF(AN72=21,J72,0)</f>
        <v>0</v>
      </c>
      <c r="AN72" s="41">
        <v>12</v>
      </c>
      <c r="AO72" s="41">
        <f>G72*0.355996010869001</f>
        <v>0</v>
      </c>
      <c r="AP72" s="41">
        <f>G72*(1-0.355996010869001)</f>
        <v>0</v>
      </c>
      <c r="AQ72" s="38" t="s">
        <v>661</v>
      </c>
      <c r="AV72" s="41">
        <f>AW72+AX72</f>
        <v>0</v>
      </c>
      <c r="AW72" s="41">
        <f>F72*AO72</f>
        <v>0</v>
      </c>
      <c r="AX72" s="41">
        <f>F72*AP72</f>
        <v>0</v>
      </c>
      <c r="AY72" s="38" t="s">
        <v>310</v>
      </c>
      <c r="AZ72" s="38" t="s">
        <v>102</v>
      </c>
      <c r="BA72" s="8" t="s">
        <v>518</v>
      </c>
      <c r="BC72" s="41">
        <f>AW72+AX72</f>
        <v>0</v>
      </c>
      <c r="BD72" s="41">
        <f>G72/(100-BE72)*100</f>
        <v>0</v>
      </c>
      <c r="BE72" s="41">
        <v>0</v>
      </c>
      <c r="BF72" s="41">
        <f>72</f>
        <v>72</v>
      </c>
      <c r="BH72" s="41">
        <f>F72*AO72</f>
        <v>0</v>
      </c>
      <c r="BI72" s="41">
        <f>F72*AP72</f>
        <v>0</v>
      </c>
      <c r="BJ72" s="41">
        <f>F72*G72</f>
        <v>0</v>
      </c>
      <c r="BK72" s="41"/>
      <c r="BL72" s="41">
        <v>62</v>
      </c>
      <c r="BW72" s="41">
        <v>12</v>
      </c>
    </row>
    <row r="73" spans="1:75" ht="15" customHeight="1">
      <c r="A73" s="17"/>
      <c r="C73" s="7" t="s">
        <v>590</v>
      </c>
      <c r="D73" s="7" t="s">
        <v>469</v>
      </c>
      <c r="F73" s="52">
        <v>3.5006000000000004</v>
      </c>
      <c r="K73" s="34"/>
    </row>
    <row r="74" spans="1:75" ht="15" customHeight="1">
      <c r="A74" s="17"/>
      <c r="C74" s="7" t="s">
        <v>570</v>
      </c>
      <c r="D74" s="7" t="s">
        <v>469</v>
      </c>
      <c r="F74" s="52">
        <v>6.4741000000000009</v>
      </c>
      <c r="K74" s="34"/>
    </row>
    <row r="75" spans="1:75" ht="15" customHeight="1">
      <c r="A75" s="17"/>
      <c r="C75" s="7" t="s">
        <v>693</v>
      </c>
      <c r="D75" s="7" t="s">
        <v>469</v>
      </c>
      <c r="F75" s="52">
        <v>4.9818000000000007</v>
      </c>
      <c r="K75" s="34"/>
    </row>
    <row r="76" spans="1:75" ht="15" customHeight="1">
      <c r="A76" s="17"/>
      <c r="C76" s="7" t="s">
        <v>540</v>
      </c>
      <c r="D76" s="7" t="s">
        <v>469</v>
      </c>
      <c r="F76" s="52">
        <v>3.1601000000000004</v>
      </c>
      <c r="K76" s="34"/>
    </row>
    <row r="77" spans="1:75" ht="15" customHeight="1">
      <c r="A77" s="17"/>
      <c r="C77" s="7" t="s">
        <v>687</v>
      </c>
      <c r="D77" s="7" t="s">
        <v>469</v>
      </c>
      <c r="F77" s="52">
        <v>1.6368</v>
      </c>
      <c r="K77" s="34"/>
    </row>
    <row r="78" spans="1:75" ht="15" customHeight="1">
      <c r="A78" s="17"/>
      <c r="C78" s="7" t="s">
        <v>645</v>
      </c>
      <c r="D78" s="7" t="s">
        <v>469</v>
      </c>
      <c r="F78" s="52">
        <v>2.6376000000000004</v>
      </c>
      <c r="K78" s="34"/>
    </row>
    <row r="79" spans="1:75" ht="15" customHeight="1">
      <c r="A79" s="17"/>
      <c r="C79" s="7" t="s">
        <v>328</v>
      </c>
      <c r="D79" s="7" t="s">
        <v>469</v>
      </c>
      <c r="F79" s="52">
        <v>2.2391000000000001</v>
      </c>
      <c r="K79" s="34"/>
    </row>
    <row r="80" spans="1:75" ht="13.5" customHeight="1">
      <c r="A80" s="26" t="s">
        <v>473</v>
      </c>
      <c r="B80" s="46" t="s">
        <v>374</v>
      </c>
      <c r="C80" s="66" t="s">
        <v>617</v>
      </c>
      <c r="D80" s="63"/>
      <c r="E80" s="46" t="s">
        <v>654</v>
      </c>
      <c r="F80" s="41">
        <v>45.724930000000001</v>
      </c>
      <c r="G80" s="41">
        <v>0</v>
      </c>
      <c r="H80" s="41">
        <f>F80*AO80</f>
        <v>0</v>
      </c>
      <c r="I80" s="41">
        <f>F80*AP80</f>
        <v>0</v>
      </c>
      <c r="J80" s="41">
        <f>F80*G80</f>
        <v>0</v>
      </c>
      <c r="K80" s="13" t="s">
        <v>313</v>
      </c>
      <c r="Z80" s="41">
        <f>IF(AQ80="5",BJ80,0)</f>
        <v>0</v>
      </c>
      <c r="AB80" s="41">
        <f>IF(AQ80="1",BH80,0)</f>
        <v>0</v>
      </c>
      <c r="AC80" s="41">
        <f>IF(AQ80="1",BI80,0)</f>
        <v>0</v>
      </c>
      <c r="AD80" s="41">
        <f>IF(AQ80="7",BH80,0)</f>
        <v>0</v>
      </c>
      <c r="AE80" s="41">
        <f>IF(AQ80="7",BI80,0)</f>
        <v>0</v>
      </c>
      <c r="AF80" s="41">
        <f>IF(AQ80="2",BH80,0)</f>
        <v>0</v>
      </c>
      <c r="AG80" s="41">
        <f>IF(AQ80="2",BI80,0)</f>
        <v>0</v>
      </c>
      <c r="AH80" s="41">
        <f>IF(AQ80="0",BJ80,0)</f>
        <v>0</v>
      </c>
      <c r="AI80" s="8" t="s">
        <v>469</v>
      </c>
      <c r="AJ80" s="41">
        <f>IF(AN80=0,J80,0)</f>
        <v>0</v>
      </c>
      <c r="AK80" s="41">
        <f>IF(AN80=12,J80,0)</f>
        <v>0</v>
      </c>
      <c r="AL80" s="41">
        <f>IF(AN80=21,J80,0)</f>
        <v>0</v>
      </c>
      <c r="AN80" s="41">
        <v>12</v>
      </c>
      <c r="AO80" s="41">
        <f>G80*0.335233597094585</f>
        <v>0</v>
      </c>
      <c r="AP80" s="41">
        <f>G80*(1-0.335233597094585)</f>
        <v>0</v>
      </c>
      <c r="AQ80" s="38" t="s">
        <v>661</v>
      </c>
      <c r="AV80" s="41">
        <f>AW80+AX80</f>
        <v>0</v>
      </c>
      <c r="AW80" s="41">
        <f>F80*AO80</f>
        <v>0</v>
      </c>
      <c r="AX80" s="41">
        <f>F80*AP80</f>
        <v>0</v>
      </c>
      <c r="AY80" s="38" t="s">
        <v>310</v>
      </c>
      <c r="AZ80" s="38" t="s">
        <v>102</v>
      </c>
      <c r="BA80" s="8" t="s">
        <v>518</v>
      </c>
      <c r="BC80" s="41">
        <f>AW80+AX80</f>
        <v>0</v>
      </c>
      <c r="BD80" s="41">
        <f>G80/(100-BE80)*100</f>
        <v>0</v>
      </c>
      <c r="BE80" s="41">
        <v>0</v>
      </c>
      <c r="BF80" s="41">
        <f>80</f>
        <v>80</v>
      </c>
      <c r="BH80" s="41">
        <f>F80*AO80</f>
        <v>0</v>
      </c>
      <c r="BI80" s="41">
        <f>F80*AP80</f>
        <v>0</v>
      </c>
      <c r="BJ80" s="41">
        <f>F80*G80</f>
        <v>0</v>
      </c>
      <c r="BK80" s="41"/>
      <c r="BL80" s="41">
        <v>62</v>
      </c>
      <c r="BW80" s="41">
        <v>12</v>
      </c>
    </row>
    <row r="81" spans="1:75" ht="15" customHeight="1">
      <c r="A81" s="17"/>
      <c r="C81" s="7" t="s">
        <v>696</v>
      </c>
      <c r="D81" s="7" t="s">
        <v>469</v>
      </c>
      <c r="F81" s="52">
        <v>15.363030000000002</v>
      </c>
      <c r="K81" s="34"/>
    </row>
    <row r="82" spans="1:75" ht="15" customHeight="1">
      <c r="A82" s="17"/>
      <c r="C82" s="7" t="s">
        <v>454</v>
      </c>
      <c r="D82" s="7" t="s">
        <v>469</v>
      </c>
      <c r="F82" s="52">
        <v>11.93125</v>
      </c>
      <c r="K82" s="34"/>
    </row>
    <row r="83" spans="1:75" ht="15" customHeight="1">
      <c r="A83" s="17"/>
      <c r="C83" s="7" t="s">
        <v>78</v>
      </c>
      <c r="D83" s="7" t="s">
        <v>469</v>
      </c>
      <c r="F83" s="52">
        <v>9.2165500000000016</v>
      </c>
      <c r="K83" s="34"/>
    </row>
    <row r="84" spans="1:75" ht="15" customHeight="1">
      <c r="A84" s="17"/>
      <c r="C84" s="7" t="s">
        <v>678</v>
      </c>
      <c r="D84" s="7" t="s">
        <v>469</v>
      </c>
      <c r="F84" s="52">
        <v>2.7450000000000001</v>
      </c>
      <c r="K84" s="34"/>
    </row>
    <row r="85" spans="1:75" ht="15" customHeight="1">
      <c r="A85" s="17"/>
      <c r="C85" s="7" t="s">
        <v>546</v>
      </c>
      <c r="D85" s="7" t="s">
        <v>469</v>
      </c>
      <c r="F85" s="52">
        <v>0</v>
      </c>
      <c r="K85" s="34"/>
    </row>
    <row r="86" spans="1:75" ht="15" customHeight="1">
      <c r="A86" s="17"/>
      <c r="C86" s="7" t="s">
        <v>233</v>
      </c>
      <c r="D86" s="7" t="s">
        <v>469</v>
      </c>
      <c r="F86" s="52">
        <v>6.469100000000001</v>
      </c>
      <c r="K86" s="34"/>
    </row>
    <row r="87" spans="1:75" ht="13.5" customHeight="1">
      <c r="A87" s="26" t="s">
        <v>534</v>
      </c>
      <c r="B87" s="46" t="s">
        <v>243</v>
      </c>
      <c r="C87" s="66" t="s">
        <v>58</v>
      </c>
      <c r="D87" s="63"/>
      <c r="E87" s="46" t="s">
        <v>556</v>
      </c>
      <c r="F87" s="41">
        <v>40.243499999999997</v>
      </c>
      <c r="G87" s="41">
        <v>0</v>
      </c>
      <c r="H87" s="41">
        <f>F87*AO87</f>
        <v>0</v>
      </c>
      <c r="I87" s="41">
        <f>F87*AP87</f>
        <v>0</v>
      </c>
      <c r="J87" s="41">
        <f>F87*G87</f>
        <v>0</v>
      </c>
      <c r="K87" s="13" t="s">
        <v>313</v>
      </c>
      <c r="Z87" s="41">
        <f>IF(AQ87="5",BJ87,0)</f>
        <v>0</v>
      </c>
      <c r="AB87" s="41">
        <f>IF(AQ87="1",BH87,0)</f>
        <v>0</v>
      </c>
      <c r="AC87" s="41">
        <f>IF(AQ87="1",BI87,0)</f>
        <v>0</v>
      </c>
      <c r="AD87" s="41">
        <f>IF(AQ87="7",BH87,0)</f>
        <v>0</v>
      </c>
      <c r="AE87" s="41">
        <f>IF(AQ87="7",BI87,0)</f>
        <v>0</v>
      </c>
      <c r="AF87" s="41">
        <f>IF(AQ87="2",BH87,0)</f>
        <v>0</v>
      </c>
      <c r="AG87" s="41">
        <f>IF(AQ87="2",BI87,0)</f>
        <v>0</v>
      </c>
      <c r="AH87" s="41">
        <f>IF(AQ87="0",BJ87,0)</f>
        <v>0</v>
      </c>
      <c r="AI87" s="8" t="s">
        <v>469</v>
      </c>
      <c r="AJ87" s="41">
        <f>IF(AN87=0,J87,0)</f>
        <v>0</v>
      </c>
      <c r="AK87" s="41">
        <f>IF(AN87=12,J87,0)</f>
        <v>0</v>
      </c>
      <c r="AL87" s="41">
        <f>IF(AN87=21,J87,0)</f>
        <v>0</v>
      </c>
      <c r="AN87" s="41">
        <v>12</v>
      </c>
      <c r="AO87" s="41">
        <f>G87*0.308702202242076</f>
        <v>0</v>
      </c>
      <c r="AP87" s="41">
        <f>G87*(1-0.308702202242076)</f>
        <v>0</v>
      </c>
      <c r="AQ87" s="38" t="s">
        <v>661</v>
      </c>
      <c r="AV87" s="41">
        <f>AW87+AX87</f>
        <v>0</v>
      </c>
      <c r="AW87" s="41">
        <f>F87*AO87</f>
        <v>0</v>
      </c>
      <c r="AX87" s="41">
        <f>F87*AP87</f>
        <v>0</v>
      </c>
      <c r="AY87" s="38" t="s">
        <v>310</v>
      </c>
      <c r="AZ87" s="38" t="s">
        <v>102</v>
      </c>
      <c r="BA87" s="8" t="s">
        <v>518</v>
      </c>
      <c r="BC87" s="41">
        <f>AW87+AX87</f>
        <v>0</v>
      </c>
      <c r="BD87" s="41">
        <f>G87/(100-BE87)*100</f>
        <v>0</v>
      </c>
      <c r="BE87" s="41">
        <v>0</v>
      </c>
      <c r="BF87" s="41">
        <f>87</f>
        <v>87</v>
      </c>
      <c r="BH87" s="41">
        <f>F87*AO87</f>
        <v>0</v>
      </c>
      <c r="BI87" s="41">
        <f>F87*AP87</f>
        <v>0</v>
      </c>
      <c r="BJ87" s="41">
        <f>F87*G87</f>
        <v>0</v>
      </c>
      <c r="BK87" s="41"/>
      <c r="BL87" s="41">
        <v>62</v>
      </c>
      <c r="BW87" s="41">
        <v>12</v>
      </c>
    </row>
    <row r="88" spans="1:75" ht="15" customHeight="1">
      <c r="A88" s="17"/>
      <c r="C88" s="7" t="s">
        <v>724</v>
      </c>
      <c r="D88" s="7" t="s">
        <v>469</v>
      </c>
      <c r="F88" s="52">
        <v>17.285</v>
      </c>
      <c r="K88" s="34"/>
    </row>
    <row r="89" spans="1:75" ht="15" customHeight="1">
      <c r="A89" s="17"/>
      <c r="C89" s="7" t="s">
        <v>260</v>
      </c>
      <c r="D89" s="7" t="s">
        <v>469</v>
      </c>
      <c r="F89" s="52">
        <v>14.495000000000001</v>
      </c>
      <c r="K89" s="34"/>
    </row>
    <row r="90" spans="1:75" ht="15" customHeight="1">
      <c r="A90" s="17"/>
      <c r="C90" s="7" t="s">
        <v>546</v>
      </c>
      <c r="D90" s="7" t="s">
        <v>469</v>
      </c>
      <c r="F90" s="52">
        <v>0</v>
      </c>
      <c r="K90" s="34"/>
    </row>
    <row r="91" spans="1:75" ht="15" customHeight="1">
      <c r="A91" s="17"/>
      <c r="C91" s="7" t="s">
        <v>487</v>
      </c>
      <c r="D91" s="7" t="s">
        <v>469</v>
      </c>
      <c r="F91" s="52">
        <v>3.3050000000000002</v>
      </c>
      <c r="K91" s="34"/>
    </row>
    <row r="92" spans="1:75" ht="15" customHeight="1">
      <c r="A92" s="17"/>
      <c r="C92" s="7" t="s">
        <v>667</v>
      </c>
      <c r="D92" s="7" t="s">
        <v>469</v>
      </c>
      <c r="F92" s="52">
        <v>1.5000000000000002</v>
      </c>
      <c r="K92" s="34"/>
    </row>
    <row r="93" spans="1:75" ht="15" customHeight="1">
      <c r="A93" s="17"/>
      <c r="C93" s="7" t="s">
        <v>211</v>
      </c>
      <c r="D93" s="7" t="s">
        <v>469</v>
      </c>
      <c r="F93" s="52">
        <v>3.6585000000000001</v>
      </c>
      <c r="K93" s="34"/>
    </row>
    <row r="94" spans="1:75" ht="13.5" customHeight="1">
      <c r="A94" s="26" t="s">
        <v>431</v>
      </c>
      <c r="B94" s="46" t="s">
        <v>90</v>
      </c>
      <c r="C94" s="66" t="s">
        <v>456</v>
      </c>
      <c r="D94" s="63"/>
      <c r="E94" s="46" t="s">
        <v>556</v>
      </c>
      <c r="F94" s="41">
        <v>81.917000000000002</v>
      </c>
      <c r="G94" s="41">
        <v>0</v>
      </c>
      <c r="H94" s="41">
        <f>F94*AO94</f>
        <v>0</v>
      </c>
      <c r="I94" s="41">
        <f>F94*AP94</f>
        <v>0</v>
      </c>
      <c r="J94" s="41">
        <f>F94*G94</f>
        <v>0</v>
      </c>
      <c r="K94" s="13" t="s">
        <v>313</v>
      </c>
      <c r="Z94" s="41">
        <f>IF(AQ94="5",BJ94,0)</f>
        <v>0</v>
      </c>
      <c r="AB94" s="41">
        <f>IF(AQ94="1",BH94,0)</f>
        <v>0</v>
      </c>
      <c r="AC94" s="41">
        <f>IF(AQ94="1",BI94,0)</f>
        <v>0</v>
      </c>
      <c r="AD94" s="41">
        <f>IF(AQ94="7",BH94,0)</f>
        <v>0</v>
      </c>
      <c r="AE94" s="41">
        <f>IF(AQ94="7",BI94,0)</f>
        <v>0</v>
      </c>
      <c r="AF94" s="41">
        <f>IF(AQ94="2",BH94,0)</f>
        <v>0</v>
      </c>
      <c r="AG94" s="41">
        <f>IF(AQ94="2",BI94,0)</f>
        <v>0</v>
      </c>
      <c r="AH94" s="41">
        <f>IF(AQ94="0",BJ94,0)</f>
        <v>0</v>
      </c>
      <c r="AI94" s="8" t="s">
        <v>469</v>
      </c>
      <c r="AJ94" s="41">
        <f>IF(AN94=0,J94,0)</f>
        <v>0</v>
      </c>
      <c r="AK94" s="41">
        <f>IF(AN94=12,J94,0)</f>
        <v>0</v>
      </c>
      <c r="AL94" s="41">
        <f>IF(AN94=21,J94,0)</f>
        <v>0</v>
      </c>
      <c r="AN94" s="41">
        <v>12</v>
      </c>
      <c r="AO94" s="41">
        <f>G94*0.27631986507325</f>
        <v>0</v>
      </c>
      <c r="AP94" s="41">
        <f>G94*(1-0.27631986507325)</f>
        <v>0</v>
      </c>
      <c r="AQ94" s="38" t="s">
        <v>661</v>
      </c>
      <c r="AV94" s="41">
        <f>AW94+AX94</f>
        <v>0</v>
      </c>
      <c r="AW94" s="41">
        <f>F94*AO94</f>
        <v>0</v>
      </c>
      <c r="AX94" s="41">
        <f>F94*AP94</f>
        <v>0</v>
      </c>
      <c r="AY94" s="38" t="s">
        <v>310</v>
      </c>
      <c r="AZ94" s="38" t="s">
        <v>102</v>
      </c>
      <c r="BA94" s="8" t="s">
        <v>518</v>
      </c>
      <c r="BC94" s="41">
        <f>AW94+AX94</f>
        <v>0</v>
      </c>
      <c r="BD94" s="41">
        <f>G94/(100-BE94)*100</f>
        <v>0</v>
      </c>
      <c r="BE94" s="41">
        <v>0</v>
      </c>
      <c r="BF94" s="41">
        <f>94</f>
        <v>94</v>
      </c>
      <c r="BH94" s="41">
        <f>F94*AO94</f>
        <v>0</v>
      </c>
      <c r="BI94" s="41">
        <f>F94*AP94</f>
        <v>0</v>
      </c>
      <c r="BJ94" s="41">
        <f>F94*G94</f>
        <v>0</v>
      </c>
      <c r="BK94" s="41"/>
      <c r="BL94" s="41">
        <v>62</v>
      </c>
      <c r="BW94" s="41">
        <v>12</v>
      </c>
    </row>
    <row r="95" spans="1:75" ht="15" customHeight="1">
      <c r="A95" s="17"/>
      <c r="C95" s="7" t="s">
        <v>730</v>
      </c>
      <c r="D95" s="7" t="s">
        <v>469</v>
      </c>
      <c r="F95" s="52">
        <v>32.870000000000005</v>
      </c>
      <c r="K95" s="34"/>
    </row>
    <row r="96" spans="1:75" ht="15" customHeight="1">
      <c r="A96" s="17"/>
      <c r="C96" s="7" t="s">
        <v>190</v>
      </c>
      <c r="D96" s="7" t="s">
        <v>469</v>
      </c>
      <c r="F96" s="52">
        <v>28.44</v>
      </c>
      <c r="K96" s="34"/>
    </row>
    <row r="97" spans="1:75" ht="15" customHeight="1">
      <c r="A97" s="17"/>
      <c r="C97" s="7" t="s">
        <v>546</v>
      </c>
      <c r="D97" s="7" t="s">
        <v>469</v>
      </c>
      <c r="F97" s="52">
        <v>0</v>
      </c>
      <c r="K97" s="34"/>
    </row>
    <row r="98" spans="1:75" ht="15" customHeight="1">
      <c r="A98" s="17"/>
      <c r="C98" s="7" t="s">
        <v>268</v>
      </c>
      <c r="D98" s="7" t="s">
        <v>469</v>
      </c>
      <c r="F98" s="52">
        <v>11.66</v>
      </c>
      <c r="K98" s="34"/>
    </row>
    <row r="99" spans="1:75" ht="15" customHeight="1">
      <c r="A99" s="17"/>
      <c r="C99" s="7" t="s">
        <v>533</v>
      </c>
      <c r="D99" s="7" t="s">
        <v>469</v>
      </c>
      <c r="F99" s="52">
        <v>1.5000000000000002</v>
      </c>
      <c r="K99" s="34"/>
    </row>
    <row r="100" spans="1:75" ht="15" customHeight="1">
      <c r="A100" s="17"/>
      <c r="C100" s="7" t="s">
        <v>280</v>
      </c>
      <c r="D100" s="7" t="s">
        <v>469</v>
      </c>
      <c r="F100" s="52">
        <v>7.447000000000001</v>
      </c>
      <c r="K100" s="34"/>
    </row>
    <row r="101" spans="1:75" ht="13.5" customHeight="1">
      <c r="A101" s="26" t="s">
        <v>36</v>
      </c>
      <c r="B101" s="46" t="s">
        <v>56</v>
      </c>
      <c r="C101" s="66" t="s">
        <v>413</v>
      </c>
      <c r="D101" s="63"/>
      <c r="E101" s="46" t="s">
        <v>556</v>
      </c>
      <c r="F101" s="41">
        <v>107.0455</v>
      </c>
      <c r="G101" s="41">
        <v>0</v>
      </c>
      <c r="H101" s="41">
        <f>F101*AO101</f>
        <v>0</v>
      </c>
      <c r="I101" s="41">
        <f>F101*AP101</f>
        <v>0</v>
      </c>
      <c r="J101" s="41">
        <f>F101*G101</f>
        <v>0</v>
      </c>
      <c r="K101" s="13" t="s">
        <v>313</v>
      </c>
      <c r="Z101" s="41">
        <f>IF(AQ101="5",BJ101,0)</f>
        <v>0</v>
      </c>
      <c r="AB101" s="41">
        <f>IF(AQ101="1",BH101,0)</f>
        <v>0</v>
      </c>
      <c r="AC101" s="41">
        <f>IF(AQ101="1",BI101,0)</f>
        <v>0</v>
      </c>
      <c r="AD101" s="41">
        <f>IF(AQ101="7",BH101,0)</f>
        <v>0</v>
      </c>
      <c r="AE101" s="41">
        <f>IF(AQ101="7",BI101,0)</f>
        <v>0</v>
      </c>
      <c r="AF101" s="41">
        <f>IF(AQ101="2",BH101,0)</f>
        <v>0</v>
      </c>
      <c r="AG101" s="41">
        <f>IF(AQ101="2",BI101,0)</f>
        <v>0</v>
      </c>
      <c r="AH101" s="41">
        <f>IF(AQ101="0",BJ101,0)</f>
        <v>0</v>
      </c>
      <c r="AI101" s="8" t="s">
        <v>469</v>
      </c>
      <c r="AJ101" s="41">
        <f>IF(AN101=0,J101,0)</f>
        <v>0</v>
      </c>
      <c r="AK101" s="41">
        <f>IF(AN101=12,J101,0)</f>
        <v>0</v>
      </c>
      <c r="AL101" s="41">
        <f>IF(AN101=21,J101,0)</f>
        <v>0</v>
      </c>
      <c r="AN101" s="41">
        <v>12</v>
      </c>
      <c r="AO101" s="41">
        <f>G101*0.515749845799341</f>
        <v>0</v>
      </c>
      <c r="AP101" s="41">
        <f>G101*(1-0.515749845799341)</f>
        <v>0</v>
      </c>
      <c r="AQ101" s="38" t="s">
        <v>661</v>
      </c>
      <c r="AV101" s="41">
        <f>AW101+AX101</f>
        <v>0</v>
      </c>
      <c r="AW101" s="41">
        <f>F101*AO101</f>
        <v>0</v>
      </c>
      <c r="AX101" s="41">
        <f>F101*AP101</f>
        <v>0</v>
      </c>
      <c r="AY101" s="38" t="s">
        <v>310</v>
      </c>
      <c r="AZ101" s="38" t="s">
        <v>102</v>
      </c>
      <c r="BA101" s="8" t="s">
        <v>518</v>
      </c>
      <c r="BC101" s="41">
        <f>AW101+AX101</f>
        <v>0</v>
      </c>
      <c r="BD101" s="41">
        <f>G101/(100-BE101)*100</f>
        <v>0</v>
      </c>
      <c r="BE101" s="41">
        <v>0</v>
      </c>
      <c r="BF101" s="41">
        <f>101</f>
        <v>101</v>
      </c>
      <c r="BH101" s="41">
        <f>F101*AO101</f>
        <v>0</v>
      </c>
      <c r="BI101" s="41">
        <f>F101*AP101</f>
        <v>0</v>
      </c>
      <c r="BJ101" s="41">
        <f>F101*G101</f>
        <v>0</v>
      </c>
      <c r="BK101" s="41"/>
      <c r="BL101" s="41">
        <v>62</v>
      </c>
      <c r="BW101" s="41">
        <v>12</v>
      </c>
    </row>
    <row r="102" spans="1:75" ht="15" customHeight="1">
      <c r="A102" s="17"/>
      <c r="C102" s="7" t="s">
        <v>507</v>
      </c>
      <c r="D102" s="7" t="s">
        <v>469</v>
      </c>
      <c r="F102" s="52">
        <v>40.243500000000004</v>
      </c>
      <c r="K102" s="34"/>
    </row>
    <row r="103" spans="1:75" ht="15" customHeight="1">
      <c r="A103" s="17"/>
      <c r="C103" s="7" t="s">
        <v>723</v>
      </c>
      <c r="D103" s="7" t="s">
        <v>469</v>
      </c>
      <c r="F103" s="52">
        <v>-3.3050000000000002</v>
      </c>
      <c r="K103" s="34"/>
    </row>
    <row r="104" spans="1:75" ht="15" customHeight="1">
      <c r="A104" s="17"/>
      <c r="C104" s="7" t="s">
        <v>667</v>
      </c>
      <c r="D104" s="7" t="s">
        <v>469</v>
      </c>
      <c r="F104" s="52">
        <v>1.5000000000000002</v>
      </c>
      <c r="K104" s="34"/>
    </row>
    <row r="105" spans="1:75" ht="15" customHeight="1">
      <c r="A105" s="17"/>
      <c r="C105" s="7" t="s">
        <v>129</v>
      </c>
      <c r="D105" s="7" t="s">
        <v>469</v>
      </c>
      <c r="F105" s="52">
        <v>81.76700000000001</v>
      </c>
      <c r="K105" s="34"/>
    </row>
    <row r="106" spans="1:75" ht="15" customHeight="1">
      <c r="A106" s="17"/>
      <c r="C106" s="7" t="s">
        <v>635</v>
      </c>
      <c r="D106" s="7" t="s">
        <v>469</v>
      </c>
      <c r="F106" s="52">
        <v>-11.66</v>
      </c>
      <c r="K106" s="34"/>
    </row>
    <row r="107" spans="1:75" ht="15" customHeight="1">
      <c r="A107" s="17"/>
      <c r="C107" s="7" t="s">
        <v>221</v>
      </c>
      <c r="D107" s="7" t="s">
        <v>469</v>
      </c>
      <c r="F107" s="52">
        <v>-1.5000000000000002</v>
      </c>
      <c r="K107" s="34"/>
    </row>
    <row r="108" spans="1:75" ht="13.5" customHeight="1">
      <c r="A108" s="26" t="s">
        <v>481</v>
      </c>
      <c r="B108" s="46" t="s">
        <v>433</v>
      </c>
      <c r="C108" s="66" t="s">
        <v>255</v>
      </c>
      <c r="D108" s="63"/>
      <c r="E108" s="46" t="s">
        <v>556</v>
      </c>
      <c r="F108" s="41">
        <v>34.957999999999998</v>
      </c>
      <c r="G108" s="41">
        <v>0</v>
      </c>
      <c r="H108" s="41">
        <f>F108*AO108</f>
        <v>0</v>
      </c>
      <c r="I108" s="41">
        <f>F108*AP108</f>
        <v>0</v>
      </c>
      <c r="J108" s="41">
        <f>F108*G108</f>
        <v>0</v>
      </c>
      <c r="K108" s="13" t="s">
        <v>313</v>
      </c>
      <c r="Z108" s="41">
        <f>IF(AQ108="5",BJ108,0)</f>
        <v>0</v>
      </c>
      <c r="AB108" s="41">
        <f>IF(AQ108="1",BH108,0)</f>
        <v>0</v>
      </c>
      <c r="AC108" s="41">
        <f>IF(AQ108="1",BI108,0)</f>
        <v>0</v>
      </c>
      <c r="AD108" s="41">
        <f>IF(AQ108="7",BH108,0)</f>
        <v>0</v>
      </c>
      <c r="AE108" s="41">
        <f>IF(AQ108="7",BI108,0)</f>
        <v>0</v>
      </c>
      <c r="AF108" s="41">
        <f>IF(AQ108="2",BH108,0)</f>
        <v>0</v>
      </c>
      <c r="AG108" s="41">
        <f>IF(AQ108="2",BI108,0)</f>
        <v>0</v>
      </c>
      <c r="AH108" s="41">
        <f>IF(AQ108="0",BJ108,0)</f>
        <v>0</v>
      </c>
      <c r="AI108" s="8" t="s">
        <v>469</v>
      </c>
      <c r="AJ108" s="41">
        <f>IF(AN108=0,J108,0)</f>
        <v>0</v>
      </c>
      <c r="AK108" s="41">
        <f>IF(AN108=12,J108,0)</f>
        <v>0</v>
      </c>
      <c r="AL108" s="41">
        <f>IF(AN108=21,J108,0)</f>
        <v>0</v>
      </c>
      <c r="AN108" s="41">
        <v>12</v>
      </c>
      <c r="AO108" s="41">
        <f>G108*0.226068154979475</f>
        <v>0</v>
      </c>
      <c r="AP108" s="41">
        <f>G108*(1-0.226068154979475)</f>
        <v>0</v>
      </c>
      <c r="AQ108" s="38" t="s">
        <v>661</v>
      </c>
      <c r="AV108" s="41">
        <f>AW108+AX108</f>
        <v>0</v>
      </c>
      <c r="AW108" s="41">
        <f>F108*AO108</f>
        <v>0</v>
      </c>
      <c r="AX108" s="41">
        <f>F108*AP108</f>
        <v>0</v>
      </c>
      <c r="AY108" s="38" t="s">
        <v>310</v>
      </c>
      <c r="AZ108" s="38" t="s">
        <v>102</v>
      </c>
      <c r="BA108" s="8" t="s">
        <v>518</v>
      </c>
      <c r="BC108" s="41">
        <f>AW108+AX108</f>
        <v>0</v>
      </c>
      <c r="BD108" s="41">
        <f>G108/(100-BE108)*100</f>
        <v>0</v>
      </c>
      <c r="BE108" s="41">
        <v>0</v>
      </c>
      <c r="BF108" s="41">
        <f>108</f>
        <v>108</v>
      </c>
      <c r="BH108" s="41">
        <f>F108*AO108</f>
        <v>0</v>
      </c>
      <c r="BI108" s="41">
        <f>F108*AP108</f>
        <v>0</v>
      </c>
      <c r="BJ108" s="41">
        <f>F108*G108</f>
        <v>0</v>
      </c>
      <c r="BK108" s="41"/>
      <c r="BL108" s="41">
        <v>62</v>
      </c>
      <c r="BW108" s="41">
        <v>12</v>
      </c>
    </row>
    <row r="109" spans="1:75" ht="15" customHeight="1">
      <c r="A109" s="17"/>
      <c r="C109" s="7" t="s">
        <v>542</v>
      </c>
      <c r="D109" s="7" t="s">
        <v>469</v>
      </c>
      <c r="F109" s="52">
        <v>31.78</v>
      </c>
      <c r="K109" s="34"/>
    </row>
    <row r="110" spans="1:75" ht="15" customHeight="1">
      <c r="A110" s="17"/>
      <c r="C110" s="7" t="s">
        <v>178</v>
      </c>
      <c r="D110" s="7" t="s">
        <v>469</v>
      </c>
      <c r="F110" s="52">
        <v>3.1780000000000004</v>
      </c>
      <c r="K110" s="34"/>
    </row>
    <row r="111" spans="1:75" ht="13.5" customHeight="1">
      <c r="A111" s="26" t="s">
        <v>634</v>
      </c>
      <c r="B111" s="46" t="s">
        <v>227</v>
      </c>
      <c r="C111" s="66" t="s">
        <v>547</v>
      </c>
      <c r="D111" s="63"/>
      <c r="E111" s="46" t="s">
        <v>654</v>
      </c>
      <c r="F111" s="41">
        <v>116.303</v>
      </c>
      <c r="G111" s="41">
        <v>0</v>
      </c>
      <c r="H111" s="41">
        <f>F111*AO111</f>
        <v>0</v>
      </c>
      <c r="I111" s="41">
        <f>F111*AP111</f>
        <v>0</v>
      </c>
      <c r="J111" s="41">
        <f>F111*G111</f>
        <v>0</v>
      </c>
      <c r="K111" s="13" t="s">
        <v>313</v>
      </c>
      <c r="Z111" s="41">
        <f>IF(AQ111="5",BJ111,0)</f>
        <v>0</v>
      </c>
      <c r="AB111" s="41">
        <f>IF(AQ111="1",BH111,0)</f>
        <v>0</v>
      </c>
      <c r="AC111" s="41">
        <f>IF(AQ111="1",BI111,0)</f>
        <v>0</v>
      </c>
      <c r="AD111" s="41">
        <f>IF(AQ111="7",BH111,0)</f>
        <v>0</v>
      </c>
      <c r="AE111" s="41">
        <f>IF(AQ111="7",BI111,0)</f>
        <v>0</v>
      </c>
      <c r="AF111" s="41">
        <f>IF(AQ111="2",BH111,0)</f>
        <v>0</v>
      </c>
      <c r="AG111" s="41">
        <f>IF(AQ111="2",BI111,0)</f>
        <v>0</v>
      </c>
      <c r="AH111" s="41">
        <f>IF(AQ111="0",BJ111,0)</f>
        <v>0</v>
      </c>
      <c r="AI111" s="8" t="s">
        <v>469</v>
      </c>
      <c r="AJ111" s="41">
        <f>IF(AN111=0,J111,0)</f>
        <v>0</v>
      </c>
      <c r="AK111" s="41">
        <f>IF(AN111=12,J111,0)</f>
        <v>0</v>
      </c>
      <c r="AL111" s="41">
        <f>IF(AN111=21,J111,0)</f>
        <v>0</v>
      </c>
      <c r="AN111" s="41">
        <v>12</v>
      </c>
      <c r="AO111" s="41">
        <f>G111*0.322342730984623</f>
        <v>0</v>
      </c>
      <c r="AP111" s="41">
        <f>G111*(1-0.322342730984623)</f>
        <v>0</v>
      </c>
      <c r="AQ111" s="38" t="s">
        <v>661</v>
      </c>
      <c r="AV111" s="41">
        <f>AW111+AX111</f>
        <v>0</v>
      </c>
      <c r="AW111" s="41">
        <f>F111*AO111</f>
        <v>0</v>
      </c>
      <c r="AX111" s="41">
        <f>F111*AP111</f>
        <v>0</v>
      </c>
      <c r="AY111" s="38" t="s">
        <v>310</v>
      </c>
      <c r="AZ111" s="38" t="s">
        <v>102</v>
      </c>
      <c r="BA111" s="8" t="s">
        <v>518</v>
      </c>
      <c r="BC111" s="41">
        <f>AW111+AX111</f>
        <v>0</v>
      </c>
      <c r="BD111" s="41">
        <f>G111/(100-BE111)*100</f>
        <v>0</v>
      </c>
      <c r="BE111" s="41">
        <v>0</v>
      </c>
      <c r="BF111" s="41">
        <f>111</f>
        <v>111</v>
      </c>
      <c r="BH111" s="41">
        <f>F111*AO111</f>
        <v>0</v>
      </c>
      <c r="BI111" s="41">
        <f>F111*AP111</f>
        <v>0</v>
      </c>
      <c r="BJ111" s="41">
        <f>F111*G111</f>
        <v>0</v>
      </c>
      <c r="BK111" s="41"/>
      <c r="BL111" s="41">
        <v>62</v>
      </c>
      <c r="BW111" s="41">
        <v>12</v>
      </c>
    </row>
    <row r="112" spans="1:75" ht="15" customHeight="1">
      <c r="A112" s="17"/>
      <c r="C112" s="7" t="s">
        <v>315</v>
      </c>
      <c r="D112" s="7" t="s">
        <v>469</v>
      </c>
      <c r="F112" s="52">
        <v>97.070000000000007</v>
      </c>
      <c r="K112" s="34"/>
    </row>
    <row r="113" spans="1:75" ht="15" customHeight="1">
      <c r="A113" s="17"/>
      <c r="C113" s="7" t="s">
        <v>155</v>
      </c>
      <c r="D113" s="7" t="s">
        <v>469</v>
      </c>
      <c r="F113" s="52">
        <v>8.66</v>
      </c>
      <c r="K113" s="34"/>
    </row>
    <row r="114" spans="1:75" ht="15" customHeight="1">
      <c r="A114" s="17"/>
      <c r="C114" s="7" t="s">
        <v>18</v>
      </c>
      <c r="D114" s="7" t="s">
        <v>469</v>
      </c>
      <c r="F114" s="52">
        <v>10.573</v>
      </c>
      <c r="K114" s="34"/>
    </row>
    <row r="115" spans="1:75" ht="13.5" customHeight="1">
      <c r="A115" s="26" t="s">
        <v>312</v>
      </c>
      <c r="B115" s="46" t="s">
        <v>266</v>
      </c>
      <c r="C115" s="66" t="s">
        <v>116</v>
      </c>
      <c r="D115" s="63"/>
      <c r="E115" s="46" t="s">
        <v>654</v>
      </c>
      <c r="F115" s="41">
        <v>418.40129999999999</v>
      </c>
      <c r="G115" s="41">
        <v>0</v>
      </c>
      <c r="H115" s="41">
        <f>F115*AO115</f>
        <v>0</v>
      </c>
      <c r="I115" s="41">
        <f>F115*AP115</f>
        <v>0</v>
      </c>
      <c r="J115" s="41">
        <f>F115*G115</f>
        <v>0</v>
      </c>
      <c r="K115" s="13" t="s">
        <v>313</v>
      </c>
      <c r="Z115" s="41">
        <f>IF(AQ115="5",BJ115,0)</f>
        <v>0</v>
      </c>
      <c r="AB115" s="41">
        <f>IF(AQ115="1",BH115,0)</f>
        <v>0</v>
      </c>
      <c r="AC115" s="41">
        <f>IF(AQ115="1",BI115,0)</f>
        <v>0</v>
      </c>
      <c r="AD115" s="41">
        <f>IF(AQ115="7",BH115,0)</f>
        <v>0</v>
      </c>
      <c r="AE115" s="41">
        <f>IF(AQ115="7",BI115,0)</f>
        <v>0</v>
      </c>
      <c r="AF115" s="41">
        <f>IF(AQ115="2",BH115,0)</f>
        <v>0</v>
      </c>
      <c r="AG115" s="41">
        <f>IF(AQ115="2",BI115,0)</f>
        <v>0</v>
      </c>
      <c r="AH115" s="41">
        <f>IF(AQ115="0",BJ115,0)</f>
        <v>0</v>
      </c>
      <c r="AI115" s="8" t="s">
        <v>469</v>
      </c>
      <c r="AJ115" s="41">
        <f>IF(AN115=0,J115,0)</f>
        <v>0</v>
      </c>
      <c r="AK115" s="41">
        <f>IF(AN115=12,J115,0)</f>
        <v>0</v>
      </c>
      <c r="AL115" s="41">
        <f>IF(AN115=21,J115,0)</f>
        <v>0</v>
      </c>
      <c r="AN115" s="41">
        <v>12</v>
      </c>
      <c r="AO115" s="41">
        <f>G115*0.0744837709274768</f>
        <v>0</v>
      </c>
      <c r="AP115" s="41">
        <f>G115*(1-0.0744837709274768)</f>
        <v>0</v>
      </c>
      <c r="AQ115" s="38" t="s">
        <v>661</v>
      </c>
      <c r="AV115" s="41">
        <f>AW115+AX115</f>
        <v>0</v>
      </c>
      <c r="AW115" s="41">
        <f>F115*AO115</f>
        <v>0</v>
      </c>
      <c r="AX115" s="41">
        <f>F115*AP115</f>
        <v>0</v>
      </c>
      <c r="AY115" s="38" t="s">
        <v>310</v>
      </c>
      <c r="AZ115" s="38" t="s">
        <v>102</v>
      </c>
      <c r="BA115" s="8" t="s">
        <v>518</v>
      </c>
      <c r="BC115" s="41">
        <f>AW115+AX115</f>
        <v>0</v>
      </c>
      <c r="BD115" s="41">
        <f>G115/(100-BE115)*100</f>
        <v>0</v>
      </c>
      <c r="BE115" s="41">
        <v>0</v>
      </c>
      <c r="BF115" s="41">
        <f>115</f>
        <v>115</v>
      </c>
      <c r="BH115" s="41">
        <f>F115*AO115</f>
        <v>0</v>
      </c>
      <c r="BI115" s="41">
        <f>F115*AP115</f>
        <v>0</v>
      </c>
      <c r="BJ115" s="41">
        <f>F115*G115</f>
        <v>0</v>
      </c>
      <c r="BK115" s="41"/>
      <c r="BL115" s="41">
        <v>62</v>
      </c>
      <c r="BW115" s="41">
        <v>12</v>
      </c>
    </row>
    <row r="116" spans="1:75" ht="15" customHeight="1">
      <c r="A116" s="17"/>
      <c r="C116" s="7" t="s">
        <v>574</v>
      </c>
      <c r="D116" s="7" t="s">
        <v>469</v>
      </c>
      <c r="F116" s="52">
        <v>46.754200000000004</v>
      </c>
      <c r="K116" s="34"/>
    </row>
    <row r="117" spans="1:75" ht="15" customHeight="1">
      <c r="A117" s="17"/>
      <c r="C117" s="7" t="s">
        <v>0</v>
      </c>
      <c r="D117" s="7" t="s">
        <v>469</v>
      </c>
      <c r="F117" s="52">
        <v>371.64710000000002</v>
      </c>
      <c r="K117" s="34"/>
    </row>
    <row r="118" spans="1:75" ht="13.5" customHeight="1">
      <c r="A118" s="26" t="s">
        <v>76</v>
      </c>
      <c r="B118" s="46" t="s">
        <v>194</v>
      </c>
      <c r="C118" s="66" t="s">
        <v>308</v>
      </c>
      <c r="D118" s="63"/>
      <c r="E118" s="46" t="s">
        <v>654</v>
      </c>
      <c r="F118" s="41">
        <v>418.40129999999999</v>
      </c>
      <c r="G118" s="41">
        <v>0</v>
      </c>
      <c r="H118" s="41">
        <f>F118*AO118</f>
        <v>0</v>
      </c>
      <c r="I118" s="41">
        <f>F118*AP118</f>
        <v>0</v>
      </c>
      <c r="J118" s="41">
        <f>F118*G118</f>
        <v>0</v>
      </c>
      <c r="K118" s="13" t="s">
        <v>313</v>
      </c>
      <c r="Z118" s="41">
        <f>IF(AQ118="5",BJ118,0)</f>
        <v>0</v>
      </c>
      <c r="AB118" s="41">
        <f>IF(AQ118="1",BH118,0)</f>
        <v>0</v>
      </c>
      <c r="AC118" s="41">
        <f>IF(AQ118="1",BI118,0)</f>
        <v>0</v>
      </c>
      <c r="AD118" s="41">
        <f>IF(AQ118="7",BH118,0)</f>
        <v>0</v>
      </c>
      <c r="AE118" s="41">
        <f>IF(AQ118="7",BI118,0)</f>
        <v>0</v>
      </c>
      <c r="AF118" s="41">
        <f>IF(AQ118="2",BH118,0)</f>
        <v>0</v>
      </c>
      <c r="AG118" s="41">
        <f>IF(AQ118="2",BI118,0)</f>
        <v>0</v>
      </c>
      <c r="AH118" s="41">
        <f>IF(AQ118="0",BJ118,0)</f>
        <v>0</v>
      </c>
      <c r="AI118" s="8" t="s">
        <v>469</v>
      </c>
      <c r="AJ118" s="41">
        <f>IF(AN118=0,J118,0)</f>
        <v>0</v>
      </c>
      <c r="AK118" s="41">
        <f>IF(AN118=12,J118,0)</f>
        <v>0</v>
      </c>
      <c r="AL118" s="41">
        <f>IF(AN118=21,J118,0)</f>
        <v>0</v>
      </c>
      <c r="AN118" s="41">
        <v>12</v>
      </c>
      <c r="AO118" s="41">
        <f>G118*0.265712619039952</f>
        <v>0</v>
      </c>
      <c r="AP118" s="41">
        <f>G118*(1-0.265712619039952)</f>
        <v>0</v>
      </c>
      <c r="AQ118" s="38" t="s">
        <v>661</v>
      </c>
      <c r="AV118" s="41">
        <f>AW118+AX118</f>
        <v>0</v>
      </c>
      <c r="AW118" s="41">
        <f>F118*AO118</f>
        <v>0</v>
      </c>
      <c r="AX118" s="41">
        <f>F118*AP118</f>
        <v>0</v>
      </c>
      <c r="AY118" s="38" t="s">
        <v>310</v>
      </c>
      <c r="AZ118" s="38" t="s">
        <v>102</v>
      </c>
      <c r="BA118" s="8" t="s">
        <v>518</v>
      </c>
      <c r="BC118" s="41">
        <f>AW118+AX118</f>
        <v>0</v>
      </c>
      <c r="BD118" s="41">
        <f>G118/(100-BE118)*100</f>
        <v>0</v>
      </c>
      <c r="BE118" s="41">
        <v>0</v>
      </c>
      <c r="BF118" s="41">
        <f>118</f>
        <v>118</v>
      </c>
      <c r="BH118" s="41">
        <f>F118*AO118</f>
        <v>0</v>
      </c>
      <c r="BI118" s="41">
        <f>F118*AP118</f>
        <v>0</v>
      </c>
      <c r="BJ118" s="41">
        <f>F118*G118</f>
        <v>0</v>
      </c>
      <c r="BK118" s="41"/>
      <c r="BL118" s="41">
        <v>62</v>
      </c>
      <c r="BW118" s="41">
        <v>12</v>
      </c>
    </row>
    <row r="119" spans="1:75" ht="15" customHeight="1">
      <c r="A119" s="17"/>
      <c r="C119" s="7" t="s">
        <v>187</v>
      </c>
      <c r="D119" s="7" t="s">
        <v>469</v>
      </c>
      <c r="F119" s="52">
        <v>418.40130000000005</v>
      </c>
      <c r="K119" s="34"/>
    </row>
    <row r="120" spans="1:75" ht="13.5" customHeight="1">
      <c r="A120" s="26" t="s">
        <v>181</v>
      </c>
      <c r="B120" s="46" t="s">
        <v>629</v>
      </c>
      <c r="C120" s="66" t="s">
        <v>175</v>
      </c>
      <c r="D120" s="63"/>
      <c r="E120" s="46" t="s">
        <v>556</v>
      </c>
      <c r="F120" s="41">
        <v>29.4</v>
      </c>
      <c r="G120" s="41">
        <v>0</v>
      </c>
      <c r="H120" s="41">
        <f>F120*AO120</f>
        <v>0</v>
      </c>
      <c r="I120" s="41">
        <f>F120*AP120</f>
        <v>0</v>
      </c>
      <c r="J120" s="41">
        <f>F120*G120</f>
        <v>0</v>
      </c>
      <c r="K120" s="13" t="s">
        <v>313</v>
      </c>
      <c r="Z120" s="41">
        <f>IF(AQ120="5",BJ120,0)</f>
        <v>0</v>
      </c>
      <c r="AB120" s="41">
        <f>IF(AQ120="1",BH120,0)</f>
        <v>0</v>
      </c>
      <c r="AC120" s="41">
        <f>IF(AQ120="1",BI120,0)</f>
        <v>0</v>
      </c>
      <c r="AD120" s="41">
        <f>IF(AQ120="7",BH120,0)</f>
        <v>0</v>
      </c>
      <c r="AE120" s="41">
        <f>IF(AQ120="7",BI120,0)</f>
        <v>0</v>
      </c>
      <c r="AF120" s="41">
        <f>IF(AQ120="2",BH120,0)</f>
        <v>0</v>
      </c>
      <c r="AG120" s="41">
        <f>IF(AQ120="2",BI120,0)</f>
        <v>0</v>
      </c>
      <c r="AH120" s="41">
        <f>IF(AQ120="0",BJ120,0)</f>
        <v>0</v>
      </c>
      <c r="AI120" s="8" t="s">
        <v>469</v>
      </c>
      <c r="AJ120" s="41">
        <f>IF(AN120=0,J120,0)</f>
        <v>0</v>
      </c>
      <c r="AK120" s="41">
        <f>IF(AN120=12,J120,0)</f>
        <v>0</v>
      </c>
      <c r="AL120" s="41">
        <f>IF(AN120=21,J120,0)</f>
        <v>0</v>
      </c>
      <c r="AN120" s="41">
        <v>12</v>
      </c>
      <c r="AO120" s="41">
        <f>G120*0.914173913043478</f>
        <v>0</v>
      </c>
      <c r="AP120" s="41">
        <f>G120*(1-0.914173913043478)</f>
        <v>0</v>
      </c>
      <c r="AQ120" s="38" t="s">
        <v>661</v>
      </c>
      <c r="AV120" s="41">
        <f>AW120+AX120</f>
        <v>0</v>
      </c>
      <c r="AW120" s="41">
        <f>F120*AO120</f>
        <v>0</v>
      </c>
      <c r="AX120" s="41">
        <f>F120*AP120</f>
        <v>0</v>
      </c>
      <c r="AY120" s="38" t="s">
        <v>310</v>
      </c>
      <c r="AZ120" s="38" t="s">
        <v>102</v>
      </c>
      <c r="BA120" s="8" t="s">
        <v>518</v>
      </c>
      <c r="BC120" s="41">
        <f>AW120+AX120</f>
        <v>0</v>
      </c>
      <c r="BD120" s="41">
        <f>G120/(100-BE120)*100</f>
        <v>0</v>
      </c>
      <c r="BE120" s="41">
        <v>0</v>
      </c>
      <c r="BF120" s="41">
        <f>120</f>
        <v>120</v>
      </c>
      <c r="BH120" s="41">
        <f>F120*AO120</f>
        <v>0</v>
      </c>
      <c r="BI120" s="41">
        <f>F120*AP120</f>
        <v>0</v>
      </c>
      <c r="BJ120" s="41">
        <f>F120*G120</f>
        <v>0</v>
      </c>
      <c r="BK120" s="41"/>
      <c r="BL120" s="41">
        <v>62</v>
      </c>
      <c r="BW120" s="41">
        <v>12</v>
      </c>
    </row>
    <row r="121" spans="1:75" ht="15" customHeight="1">
      <c r="A121" s="17"/>
      <c r="C121" s="7" t="s">
        <v>365</v>
      </c>
      <c r="D121" s="7" t="s">
        <v>469</v>
      </c>
      <c r="F121" s="52">
        <v>28.000000000000004</v>
      </c>
      <c r="K121" s="34"/>
    </row>
    <row r="122" spans="1:75" ht="15" customHeight="1">
      <c r="A122" s="17"/>
      <c r="C122" s="7" t="s">
        <v>42</v>
      </c>
      <c r="D122" s="7" t="s">
        <v>469</v>
      </c>
      <c r="F122" s="52">
        <v>1.4000000000000001</v>
      </c>
      <c r="K122" s="34"/>
    </row>
    <row r="123" spans="1:75" ht="13.5" customHeight="1">
      <c r="A123" s="26" t="s">
        <v>100</v>
      </c>
      <c r="B123" s="46" t="s">
        <v>55</v>
      </c>
      <c r="C123" s="66" t="s">
        <v>543</v>
      </c>
      <c r="D123" s="63"/>
      <c r="E123" s="46" t="s">
        <v>556</v>
      </c>
      <c r="F123" s="41">
        <v>122</v>
      </c>
      <c r="G123" s="41">
        <v>0</v>
      </c>
      <c r="H123" s="41">
        <f>F123*AO123</f>
        <v>0</v>
      </c>
      <c r="I123" s="41">
        <f>F123*AP123</f>
        <v>0</v>
      </c>
      <c r="J123" s="41">
        <f>F123*G123</f>
        <v>0</v>
      </c>
      <c r="K123" s="13" t="s">
        <v>313</v>
      </c>
      <c r="Z123" s="41">
        <f>IF(AQ123="5",BJ123,0)</f>
        <v>0</v>
      </c>
      <c r="AB123" s="41">
        <f>IF(AQ123="1",BH123,0)</f>
        <v>0</v>
      </c>
      <c r="AC123" s="41">
        <f>IF(AQ123="1",BI123,0)</f>
        <v>0</v>
      </c>
      <c r="AD123" s="41">
        <f>IF(AQ123="7",BH123,0)</f>
        <v>0</v>
      </c>
      <c r="AE123" s="41">
        <f>IF(AQ123="7",BI123,0)</f>
        <v>0</v>
      </c>
      <c r="AF123" s="41">
        <f>IF(AQ123="2",BH123,0)</f>
        <v>0</v>
      </c>
      <c r="AG123" s="41">
        <f>IF(AQ123="2",BI123,0)</f>
        <v>0</v>
      </c>
      <c r="AH123" s="41">
        <f>IF(AQ123="0",BJ123,0)</f>
        <v>0</v>
      </c>
      <c r="AI123" s="8" t="s">
        <v>469</v>
      </c>
      <c r="AJ123" s="41">
        <f>IF(AN123=0,J123,0)</f>
        <v>0</v>
      </c>
      <c r="AK123" s="41">
        <f>IF(AN123=12,J123,0)</f>
        <v>0</v>
      </c>
      <c r="AL123" s="41">
        <f>IF(AN123=21,J123,0)</f>
        <v>0</v>
      </c>
      <c r="AN123" s="41">
        <v>12</v>
      </c>
      <c r="AO123" s="41">
        <f>G123*0.117299889339727</f>
        <v>0</v>
      </c>
      <c r="AP123" s="41">
        <f>G123*(1-0.117299889339727)</f>
        <v>0</v>
      </c>
      <c r="AQ123" s="38" t="s">
        <v>661</v>
      </c>
      <c r="AV123" s="41">
        <f>AW123+AX123</f>
        <v>0</v>
      </c>
      <c r="AW123" s="41">
        <f>F123*AO123</f>
        <v>0</v>
      </c>
      <c r="AX123" s="41">
        <f>F123*AP123</f>
        <v>0</v>
      </c>
      <c r="AY123" s="38" t="s">
        <v>310</v>
      </c>
      <c r="AZ123" s="38" t="s">
        <v>102</v>
      </c>
      <c r="BA123" s="8" t="s">
        <v>518</v>
      </c>
      <c r="BC123" s="41">
        <f>AW123+AX123</f>
        <v>0</v>
      </c>
      <c r="BD123" s="41">
        <f>G123/(100-BE123)*100</f>
        <v>0</v>
      </c>
      <c r="BE123" s="41">
        <v>0</v>
      </c>
      <c r="BF123" s="41">
        <f>123</f>
        <v>123</v>
      </c>
      <c r="BH123" s="41">
        <f>F123*AO123</f>
        <v>0</v>
      </c>
      <c r="BI123" s="41">
        <f>F123*AP123</f>
        <v>0</v>
      </c>
      <c r="BJ123" s="41">
        <f>F123*G123</f>
        <v>0</v>
      </c>
      <c r="BK123" s="41"/>
      <c r="BL123" s="41">
        <v>62</v>
      </c>
      <c r="BW123" s="41">
        <v>12</v>
      </c>
    </row>
    <row r="124" spans="1:75" ht="15" customHeight="1">
      <c r="A124" s="17"/>
      <c r="C124" s="7" t="s">
        <v>120</v>
      </c>
      <c r="D124" s="7" t="s">
        <v>469</v>
      </c>
      <c r="F124" s="52">
        <v>40</v>
      </c>
      <c r="K124" s="34"/>
    </row>
    <row r="125" spans="1:75" ht="15" customHeight="1">
      <c r="A125" s="17"/>
      <c r="C125" s="7" t="s">
        <v>28</v>
      </c>
      <c r="D125" s="7" t="s">
        <v>469</v>
      </c>
      <c r="F125" s="52">
        <v>82</v>
      </c>
      <c r="K125" s="34"/>
    </row>
    <row r="126" spans="1:75" ht="27" customHeight="1">
      <c r="A126" s="26" t="s">
        <v>649</v>
      </c>
      <c r="B126" s="46" t="s">
        <v>381</v>
      </c>
      <c r="C126" s="66" t="s">
        <v>356</v>
      </c>
      <c r="D126" s="63"/>
      <c r="E126" s="46" t="s">
        <v>556</v>
      </c>
      <c r="F126" s="41">
        <v>122</v>
      </c>
      <c r="G126" s="41">
        <v>0</v>
      </c>
      <c r="H126" s="41">
        <f>F126*AO126</f>
        <v>0</v>
      </c>
      <c r="I126" s="41">
        <f>F126*AP126</f>
        <v>0</v>
      </c>
      <c r="J126" s="41">
        <f>F126*G126</f>
        <v>0</v>
      </c>
      <c r="K126" s="13" t="s">
        <v>313</v>
      </c>
      <c r="Z126" s="41">
        <f>IF(AQ126="5",BJ126,0)</f>
        <v>0</v>
      </c>
      <c r="AB126" s="41">
        <f>IF(AQ126="1",BH126,0)</f>
        <v>0</v>
      </c>
      <c r="AC126" s="41">
        <f>IF(AQ126="1",BI126,0)</f>
        <v>0</v>
      </c>
      <c r="AD126" s="41">
        <f>IF(AQ126="7",BH126,0)</f>
        <v>0</v>
      </c>
      <c r="AE126" s="41">
        <f>IF(AQ126="7",BI126,0)</f>
        <v>0</v>
      </c>
      <c r="AF126" s="41">
        <f>IF(AQ126="2",BH126,0)</f>
        <v>0</v>
      </c>
      <c r="AG126" s="41">
        <f>IF(AQ126="2",BI126,0)</f>
        <v>0</v>
      </c>
      <c r="AH126" s="41">
        <f>IF(AQ126="0",BJ126,0)</f>
        <v>0</v>
      </c>
      <c r="AI126" s="8" t="s">
        <v>469</v>
      </c>
      <c r="AJ126" s="41">
        <f>IF(AN126=0,J126,0)</f>
        <v>0</v>
      </c>
      <c r="AK126" s="41">
        <f>IF(AN126=12,J126,0)</f>
        <v>0</v>
      </c>
      <c r="AL126" s="41">
        <f>IF(AN126=21,J126,0)</f>
        <v>0</v>
      </c>
      <c r="AN126" s="41">
        <v>12</v>
      </c>
      <c r="AO126" s="41">
        <f>G126*0.447527411053927</f>
        <v>0</v>
      </c>
      <c r="AP126" s="41">
        <f>G126*(1-0.447527411053927)</f>
        <v>0</v>
      </c>
      <c r="AQ126" s="38" t="s">
        <v>661</v>
      </c>
      <c r="AV126" s="41">
        <f>AW126+AX126</f>
        <v>0</v>
      </c>
      <c r="AW126" s="41">
        <f>F126*AO126</f>
        <v>0</v>
      </c>
      <c r="AX126" s="41">
        <f>F126*AP126</f>
        <v>0</v>
      </c>
      <c r="AY126" s="38" t="s">
        <v>310</v>
      </c>
      <c r="AZ126" s="38" t="s">
        <v>102</v>
      </c>
      <c r="BA126" s="8" t="s">
        <v>518</v>
      </c>
      <c r="BC126" s="41">
        <f>AW126+AX126</f>
        <v>0</v>
      </c>
      <c r="BD126" s="41">
        <f>G126/(100-BE126)*100</f>
        <v>0</v>
      </c>
      <c r="BE126" s="41">
        <v>0</v>
      </c>
      <c r="BF126" s="41">
        <f>126</f>
        <v>126</v>
      </c>
      <c r="BH126" s="41">
        <f>F126*AO126</f>
        <v>0</v>
      </c>
      <c r="BI126" s="41">
        <f>F126*AP126</f>
        <v>0</v>
      </c>
      <c r="BJ126" s="41">
        <f>F126*G126</f>
        <v>0</v>
      </c>
      <c r="BK126" s="41"/>
      <c r="BL126" s="41">
        <v>62</v>
      </c>
      <c r="BW126" s="41">
        <v>12</v>
      </c>
    </row>
    <row r="127" spans="1:75" ht="15" customHeight="1">
      <c r="A127" s="17"/>
      <c r="C127" s="7" t="s">
        <v>176</v>
      </c>
      <c r="D127" s="7" t="s">
        <v>469</v>
      </c>
      <c r="F127" s="52">
        <v>122.00000000000001</v>
      </c>
      <c r="K127" s="34"/>
    </row>
    <row r="128" spans="1:75" ht="13.5" customHeight="1">
      <c r="A128" s="26" t="s">
        <v>729</v>
      </c>
      <c r="B128" s="46" t="s">
        <v>225</v>
      </c>
      <c r="C128" s="66" t="s">
        <v>589</v>
      </c>
      <c r="D128" s="63"/>
      <c r="E128" s="46" t="s">
        <v>654</v>
      </c>
      <c r="F128" s="41">
        <v>37.200000000000003</v>
      </c>
      <c r="G128" s="41">
        <v>0</v>
      </c>
      <c r="H128" s="41">
        <f>F128*AO128</f>
        <v>0</v>
      </c>
      <c r="I128" s="41">
        <f>F128*AP128</f>
        <v>0</v>
      </c>
      <c r="J128" s="41">
        <f>F128*G128</f>
        <v>0</v>
      </c>
      <c r="K128" s="13" t="s">
        <v>313</v>
      </c>
      <c r="Z128" s="41">
        <f>IF(AQ128="5",BJ128,0)</f>
        <v>0</v>
      </c>
      <c r="AB128" s="41">
        <f>IF(AQ128="1",BH128,0)</f>
        <v>0</v>
      </c>
      <c r="AC128" s="41">
        <f>IF(AQ128="1",BI128,0)</f>
        <v>0</v>
      </c>
      <c r="AD128" s="41">
        <f>IF(AQ128="7",BH128,0)</f>
        <v>0</v>
      </c>
      <c r="AE128" s="41">
        <f>IF(AQ128="7",BI128,0)</f>
        <v>0</v>
      </c>
      <c r="AF128" s="41">
        <f>IF(AQ128="2",BH128,0)</f>
        <v>0</v>
      </c>
      <c r="AG128" s="41">
        <f>IF(AQ128="2",BI128,0)</f>
        <v>0</v>
      </c>
      <c r="AH128" s="41">
        <f>IF(AQ128="0",BJ128,0)</f>
        <v>0</v>
      </c>
      <c r="AI128" s="8" t="s">
        <v>469</v>
      </c>
      <c r="AJ128" s="41">
        <f>IF(AN128=0,J128,0)</f>
        <v>0</v>
      </c>
      <c r="AK128" s="41">
        <f>IF(AN128=12,J128,0)</f>
        <v>0</v>
      </c>
      <c r="AL128" s="41">
        <f>IF(AN128=21,J128,0)</f>
        <v>0</v>
      </c>
      <c r="AN128" s="41">
        <v>12</v>
      </c>
      <c r="AO128" s="41">
        <f>G128*0.0216180371352785</f>
        <v>0</v>
      </c>
      <c r="AP128" s="41">
        <f>G128*(1-0.0216180371352785)</f>
        <v>0</v>
      </c>
      <c r="AQ128" s="38" t="s">
        <v>661</v>
      </c>
      <c r="AV128" s="41">
        <f>AW128+AX128</f>
        <v>0</v>
      </c>
      <c r="AW128" s="41">
        <f>F128*AO128</f>
        <v>0</v>
      </c>
      <c r="AX128" s="41">
        <f>F128*AP128</f>
        <v>0</v>
      </c>
      <c r="AY128" s="38" t="s">
        <v>310</v>
      </c>
      <c r="AZ128" s="38" t="s">
        <v>102</v>
      </c>
      <c r="BA128" s="8" t="s">
        <v>518</v>
      </c>
      <c r="BC128" s="41">
        <f>AW128+AX128</f>
        <v>0</v>
      </c>
      <c r="BD128" s="41">
        <f>G128/(100-BE128)*100</f>
        <v>0</v>
      </c>
      <c r="BE128" s="41">
        <v>0</v>
      </c>
      <c r="BF128" s="41">
        <f>128</f>
        <v>128</v>
      </c>
      <c r="BH128" s="41">
        <f>F128*AO128</f>
        <v>0</v>
      </c>
      <c r="BI128" s="41">
        <f>F128*AP128</f>
        <v>0</v>
      </c>
      <c r="BJ128" s="41">
        <f>F128*G128</f>
        <v>0</v>
      </c>
      <c r="BK128" s="41"/>
      <c r="BL128" s="41">
        <v>62</v>
      </c>
      <c r="BW128" s="41">
        <v>12</v>
      </c>
    </row>
    <row r="129" spans="1:75" ht="15" customHeight="1">
      <c r="A129" s="17"/>
      <c r="C129" s="7" t="s">
        <v>571</v>
      </c>
      <c r="D129" s="7" t="s">
        <v>469</v>
      </c>
      <c r="F129" s="52">
        <v>12.200000000000001</v>
      </c>
      <c r="K129" s="34"/>
    </row>
    <row r="130" spans="1:75" ht="15" customHeight="1">
      <c r="A130" s="17"/>
      <c r="C130" s="7" t="s">
        <v>8</v>
      </c>
      <c r="D130" s="7" t="s">
        <v>469</v>
      </c>
      <c r="F130" s="52">
        <v>25.000000000000004</v>
      </c>
      <c r="K130" s="34"/>
    </row>
    <row r="131" spans="1:75" ht="13.5" customHeight="1">
      <c r="A131" s="26" t="s">
        <v>60</v>
      </c>
      <c r="B131" s="46" t="s">
        <v>602</v>
      </c>
      <c r="C131" s="66" t="s">
        <v>434</v>
      </c>
      <c r="D131" s="63"/>
      <c r="E131" s="46" t="s">
        <v>654</v>
      </c>
      <c r="F131" s="41">
        <v>33.248249999999999</v>
      </c>
      <c r="G131" s="41">
        <v>0</v>
      </c>
      <c r="H131" s="41">
        <f>F131*AO131</f>
        <v>0</v>
      </c>
      <c r="I131" s="41">
        <f>F131*AP131</f>
        <v>0</v>
      </c>
      <c r="J131" s="41">
        <f>F131*G131</f>
        <v>0</v>
      </c>
      <c r="K131" s="13" t="s">
        <v>313</v>
      </c>
      <c r="Z131" s="41">
        <f>IF(AQ131="5",BJ131,0)</f>
        <v>0</v>
      </c>
      <c r="AB131" s="41">
        <f>IF(AQ131="1",BH131,0)</f>
        <v>0</v>
      </c>
      <c r="AC131" s="41">
        <f>IF(AQ131="1",BI131,0)</f>
        <v>0</v>
      </c>
      <c r="AD131" s="41">
        <f>IF(AQ131="7",BH131,0)</f>
        <v>0</v>
      </c>
      <c r="AE131" s="41">
        <f>IF(AQ131="7",BI131,0)</f>
        <v>0</v>
      </c>
      <c r="AF131" s="41">
        <f>IF(AQ131="2",BH131,0)</f>
        <v>0</v>
      </c>
      <c r="AG131" s="41">
        <f>IF(AQ131="2",BI131,0)</f>
        <v>0</v>
      </c>
      <c r="AH131" s="41">
        <f>IF(AQ131="0",BJ131,0)</f>
        <v>0</v>
      </c>
      <c r="AI131" s="8" t="s">
        <v>469</v>
      </c>
      <c r="AJ131" s="41">
        <f>IF(AN131=0,J131,0)</f>
        <v>0</v>
      </c>
      <c r="AK131" s="41">
        <f>IF(AN131=12,J131,0)</f>
        <v>0</v>
      </c>
      <c r="AL131" s="41">
        <f>IF(AN131=21,J131,0)</f>
        <v>0</v>
      </c>
      <c r="AN131" s="41">
        <v>12</v>
      </c>
      <c r="AO131" s="41">
        <f>G131*0.697429362969686</f>
        <v>0</v>
      </c>
      <c r="AP131" s="41">
        <f>G131*(1-0.697429362969686)</f>
        <v>0</v>
      </c>
      <c r="AQ131" s="38" t="s">
        <v>661</v>
      </c>
      <c r="AV131" s="41">
        <f>AW131+AX131</f>
        <v>0</v>
      </c>
      <c r="AW131" s="41">
        <f>F131*AO131</f>
        <v>0</v>
      </c>
      <c r="AX131" s="41">
        <f>F131*AP131</f>
        <v>0</v>
      </c>
      <c r="AY131" s="38" t="s">
        <v>310</v>
      </c>
      <c r="AZ131" s="38" t="s">
        <v>102</v>
      </c>
      <c r="BA131" s="8" t="s">
        <v>518</v>
      </c>
      <c r="BC131" s="41">
        <f>AW131+AX131</f>
        <v>0</v>
      </c>
      <c r="BD131" s="41">
        <f>G131/(100-BE131)*100</f>
        <v>0</v>
      </c>
      <c r="BE131" s="41">
        <v>0</v>
      </c>
      <c r="BF131" s="41">
        <f>131</f>
        <v>131</v>
      </c>
      <c r="BH131" s="41">
        <f>F131*AO131</f>
        <v>0</v>
      </c>
      <c r="BI131" s="41">
        <f>F131*AP131</f>
        <v>0</v>
      </c>
      <c r="BJ131" s="41">
        <f>F131*G131</f>
        <v>0</v>
      </c>
      <c r="BK131" s="41"/>
      <c r="BL131" s="41">
        <v>62</v>
      </c>
      <c r="BW131" s="41">
        <v>12</v>
      </c>
    </row>
    <row r="132" spans="1:75" ht="15" customHeight="1">
      <c r="A132" s="17"/>
      <c r="C132" s="7" t="s">
        <v>215</v>
      </c>
      <c r="D132" s="7" t="s">
        <v>469</v>
      </c>
      <c r="F132" s="52">
        <v>6.0000000000000009</v>
      </c>
      <c r="K132" s="34"/>
    </row>
    <row r="133" spans="1:75" ht="15" customHeight="1">
      <c r="A133" s="17"/>
      <c r="C133" s="7" t="s">
        <v>756</v>
      </c>
      <c r="D133" s="7" t="s">
        <v>469</v>
      </c>
      <c r="F133" s="52">
        <v>18</v>
      </c>
      <c r="K133" s="34"/>
    </row>
    <row r="134" spans="1:75" ht="15" customHeight="1">
      <c r="A134" s="17"/>
      <c r="C134" s="7" t="s">
        <v>706</v>
      </c>
      <c r="D134" s="7" t="s">
        <v>469</v>
      </c>
      <c r="F134" s="52">
        <v>5.5000000000000009</v>
      </c>
      <c r="K134" s="34"/>
    </row>
    <row r="135" spans="1:75" ht="15" customHeight="1">
      <c r="A135" s="17"/>
      <c r="C135" s="7" t="s">
        <v>660</v>
      </c>
      <c r="D135" s="7" t="s">
        <v>469</v>
      </c>
      <c r="F135" s="52">
        <v>2.165</v>
      </c>
      <c r="K135" s="34"/>
    </row>
    <row r="136" spans="1:75" ht="15" customHeight="1">
      <c r="A136" s="17"/>
      <c r="C136" s="7" t="s">
        <v>683</v>
      </c>
      <c r="D136" s="7" t="s">
        <v>469</v>
      </c>
      <c r="F136" s="52">
        <v>1.58325</v>
      </c>
      <c r="K136" s="34"/>
    </row>
    <row r="137" spans="1:75" ht="15" customHeight="1">
      <c r="A137" s="11" t="s">
        <v>469</v>
      </c>
      <c r="B137" s="16" t="s">
        <v>340</v>
      </c>
      <c r="C137" s="79" t="s">
        <v>686</v>
      </c>
      <c r="D137" s="80"/>
      <c r="E137" s="58" t="s">
        <v>619</v>
      </c>
      <c r="F137" s="58" t="s">
        <v>619</v>
      </c>
      <c r="G137" s="58" t="s">
        <v>619</v>
      </c>
      <c r="H137" s="49">
        <f>SUM(H138:H157)</f>
        <v>0</v>
      </c>
      <c r="I137" s="49">
        <f>SUM(I138:I157)</f>
        <v>0</v>
      </c>
      <c r="J137" s="49">
        <f>SUM(J138:J157)</f>
        <v>0</v>
      </c>
      <c r="K137" s="32" t="s">
        <v>469</v>
      </c>
      <c r="AI137" s="8" t="s">
        <v>469</v>
      </c>
      <c r="AS137" s="49">
        <f>SUM(AJ138:AJ157)</f>
        <v>0</v>
      </c>
      <c r="AT137" s="49">
        <f>SUM(AK138:AK157)</f>
        <v>0</v>
      </c>
      <c r="AU137" s="49">
        <f>SUM(AL138:AL157)</f>
        <v>0</v>
      </c>
    </row>
    <row r="138" spans="1:75" ht="27" customHeight="1">
      <c r="A138" s="26" t="s">
        <v>440</v>
      </c>
      <c r="B138" s="46" t="s">
        <v>380</v>
      </c>
      <c r="C138" s="66" t="s">
        <v>531</v>
      </c>
      <c r="D138" s="63"/>
      <c r="E138" s="46" t="s">
        <v>556</v>
      </c>
      <c r="F138" s="41">
        <v>17.594999999999999</v>
      </c>
      <c r="G138" s="41">
        <v>0</v>
      </c>
      <c r="H138" s="41">
        <f>F138*AO138</f>
        <v>0</v>
      </c>
      <c r="I138" s="41">
        <f>F138*AP138</f>
        <v>0</v>
      </c>
      <c r="J138" s="41">
        <f>F138*G138</f>
        <v>0</v>
      </c>
      <c r="K138" s="13" t="s">
        <v>313</v>
      </c>
      <c r="Z138" s="41">
        <f>IF(AQ138="5",BJ138,0)</f>
        <v>0</v>
      </c>
      <c r="AB138" s="41">
        <f>IF(AQ138="1",BH138,0)</f>
        <v>0</v>
      </c>
      <c r="AC138" s="41">
        <f>IF(AQ138="1",BI138,0)</f>
        <v>0</v>
      </c>
      <c r="AD138" s="41">
        <f>IF(AQ138="7",BH138,0)</f>
        <v>0</v>
      </c>
      <c r="AE138" s="41">
        <f>IF(AQ138="7",BI138,0)</f>
        <v>0</v>
      </c>
      <c r="AF138" s="41">
        <f>IF(AQ138="2",BH138,0)</f>
        <v>0</v>
      </c>
      <c r="AG138" s="41">
        <f>IF(AQ138="2",BI138,0)</f>
        <v>0</v>
      </c>
      <c r="AH138" s="41">
        <f>IF(AQ138="0",BJ138,0)</f>
        <v>0</v>
      </c>
      <c r="AI138" s="8" t="s">
        <v>469</v>
      </c>
      <c r="AJ138" s="41">
        <f>IF(AN138=0,J138,0)</f>
        <v>0</v>
      </c>
      <c r="AK138" s="41">
        <f>IF(AN138=12,J138,0)</f>
        <v>0</v>
      </c>
      <c r="AL138" s="41">
        <f>IF(AN138=21,J138,0)</f>
        <v>0</v>
      </c>
      <c r="AN138" s="41">
        <v>12</v>
      </c>
      <c r="AO138" s="41">
        <f>G138*0.591573938982941</f>
        <v>0</v>
      </c>
      <c r="AP138" s="41">
        <f>G138*(1-0.591573938982941)</f>
        <v>0</v>
      </c>
      <c r="AQ138" s="38" t="s">
        <v>661</v>
      </c>
      <c r="AV138" s="41">
        <f>AW138+AX138</f>
        <v>0</v>
      </c>
      <c r="AW138" s="41">
        <f>F138*AO138</f>
        <v>0</v>
      </c>
      <c r="AX138" s="41">
        <f>F138*AP138</f>
        <v>0</v>
      </c>
      <c r="AY138" s="38" t="s">
        <v>458</v>
      </c>
      <c r="AZ138" s="38" t="s">
        <v>102</v>
      </c>
      <c r="BA138" s="8" t="s">
        <v>518</v>
      </c>
      <c r="BC138" s="41">
        <f>AW138+AX138</f>
        <v>0</v>
      </c>
      <c r="BD138" s="41">
        <f>G138/(100-BE138)*100</f>
        <v>0</v>
      </c>
      <c r="BE138" s="41">
        <v>0</v>
      </c>
      <c r="BF138" s="41">
        <f>138</f>
        <v>138</v>
      </c>
      <c r="BH138" s="41">
        <f>F138*AO138</f>
        <v>0</v>
      </c>
      <c r="BI138" s="41">
        <f>F138*AP138</f>
        <v>0</v>
      </c>
      <c r="BJ138" s="41">
        <f>F138*G138</f>
        <v>0</v>
      </c>
      <c r="BK138" s="41"/>
      <c r="BL138" s="41">
        <v>64</v>
      </c>
      <c r="BW138" s="41">
        <v>12</v>
      </c>
    </row>
    <row r="139" spans="1:75" ht="15" customHeight="1">
      <c r="A139" s="17"/>
      <c r="C139" s="7" t="s">
        <v>513</v>
      </c>
      <c r="D139" s="7" t="s">
        <v>469</v>
      </c>
      <c r="F139" s="52">
        <v>0.9</v>
      </c>
      <c r="K139" s="34"/>
    </row>
    <row r="140" spans="1:75" ht="15" customHeight="1">
      <c r="A140" s="17"/>
      <c r="C140" s="7" t="s">
        <v>48</v>
      </c>
      <c r="D140" s="7" t="s">
        <v>469</v>
      </c>
      <c r="F140" s="52">
        <v>2.04</v>
      </c>
      <c r="K140" s="34"/>
    </row>
    <row r="141" spans="1:75" ht="15" customHeight="1">
      <c r="A141" s="17"/>
      <c r="C141" s="7" t="s">
        <v>651</v>
      </c>
      <c r="D141" s="7" t="s">
        <v>469</v>
      </c>
      <c r="F141" s="52">
        <v>1.7200000000000002</v>
      </c>
      <c r="K141" s="34"/>
    </row>
    <row r="142" spans="1:75" ht="15" customHeight="1">
      <c r="A142" s="17"/>
      <c r="C142" s="7" t="s">
        <v>332</v>
      </c>
      <c r="D142" s="7" t="s">
        <v>469</v>
      </c>
      <c r="F142" s="52">
        <v>1.2200000000000002</v>
      </c>
      <c r="K142" s="34"/>
    </row>
    <row r="143" spans="1:75" ht="15" customHeight="1">
      <c r="A143" s="17"/>
      <c r="C143" s="7" t="s">
        <v>490</v>
      </c>
      <c r="D143" s="7" t="s">
        <v>469</v>
      </c>
      <c r="F143" s="52">
        <v>2.74</v>
      </c>
      <c r="K143" s="34"/>
    </row>
    <row r="144" spans="1:75" ht="15" customHeight="1">
      <c r="A144" s="17"/>
      <c r="C144" s="7" t="s">
        <v>22</v>
      </c>
      <c r="D144" s="7" t="s">
        <v>469</v>
      </c>
      <c r="F144" s="52">
        <v>1.165</v>
      </c>
      <c r="K144" s="34"/>
    </row>
    <row r="145" spans="1:75" ht="15" customHeight="1">
      <c r="A145" s="17"/>
      <c r="C145" s="7" t="s">
        <v>636</v>
      </c>
      <c r="D145" s="7" t="s">
        <v>469</v>
      </c>
      <c r="F145" s="52">
        <v>0.9</v>
      </c>
      <c r="K145" s="34"/>
    </row>
    <row r="146" spans="1:75" ht="15" customHeight="1">
      <c r="A146" s="17"/>
      <c r="C146" s="7" t="s">
        <v>721</v>
      </c>
      <c r="D146" s="7" t="s">
        <v>469</v>
      </c>
      <c r="F146" s="52">
        <v>1.4800000000000002</v>
      </c>
      <c r="K146" s="34"/>
    </row>
    <row r="147" spans="1:75" ht="15" customHeight="1">
      <c r="A147" s="17"/>
      <c r="C147" s="7" t="s">
        <v>145</v>
      </c>
      <c r="D147" s="7" t="s">
        <v>469</v>
      </c>
      <c r="F147" s="52">
        <v>1.2000000000000002</v>
      </c>
      <c r="K147" s="34"/>
    </row>
    <row r="148" spans="1:75" ht="15" customHeight="1">
      <c r="A148" s="17"/>
      <c r="C148" s="7" t="s">
        <v>638</v>
      </c>
      <c r="D148" s="7" t="s">
        <v>469</v>
      </c>
      <c r="F148" s="52">
        <v>1.4700000000000002</v>
      </c>
      <c r="K148" s="34"/>
    </row>
    <row r="149" spans="1:75" ht="15" customHeight="1">
      <c r="A149" s="17"/>
      <c r="C149" s="7" t="s">
        <v>3</v>
      </c>
      <c r="D149" s="7" t="s">
        <v>469</v>
      </c>
      <c r="F149" s="52">
        <v>0.60000000000000009</v>
      </c>
      <c r="K149" s="34"/>
    </row>
    <row r="150" spans="1:75" ht="15" customHeight="1">
      <c r="A150" s="17"/>
      <c r="C150" s="7" t="s">
        <v>137</v>
      </c>
      <c r="D150" s="7" t="s">
        <v>469</v>
      </c>
      <c r="F150" s="52">
        <v>1.5000000000000002</v>
      </c>
      <c r="K150" s="34"/>
    </row>
    <row r="151" spans="1:75" ht="15" customHeight="1">
      <c r="A151" s="17"/>
      <c r="C151" s="7" t="s">
        <v>470</v>
      </c>
      <c r="D151" s="7" t="s">
        <v>469</v>
      </c>
      <c r="F151" s="52">
        <v>0.66</v>
      </c>
      <c r="K151" s="34"/>
    </row>
    <row r="152" spans="1:75" ht="27" customHeight="1">
      <c r="A152" s="26" t="s">
        <v>402</v>
      </c>
      <c r="B152" s="46" t="s">
        <v>88</v>
      </c>
      <c r="C152" s="66" t="s">
        <v>360</v>
      </c>
      <c r="D152" s="63"/>
      <c r="E152" s="46" t="s">
        <v>556</v>
      </c>
      <c r="F152" s="41">
        <v>2.4350000000000001</v>
      </c>
      <c r="G152" s="41">
        <v>0</v>
      </c>
      <c r="H152" s="41">
        <f>F152*AO152</f>
        <v>0</v>
      </c>
      <c r="I152" s="41">
        <f>F152*AP152</f>
        <v>0</v>
      </c>
      <c r="J152" s="41">
        <f>F152*G152</f>
        <v>0</v>
      </c>
      <c r="K152" s="13" t="s">
        <v>313</v>
      </c>
      <c r="Z152" s="41">
        <f>IF(AQ152="5",BJ152,0)</f>
        <v>0</v>
      </c>
      <c r="AB152" s="41">
        <f>IF(AQ152="1",BH152,0)</f>
        <v>0</v>
      </c>
      <c r="AC152" s="41">
        <f>IF(AQ152="1",BI152,0)</f>
        <v>0</v>
      </c>
      <c r="AD152" s="41">
        <f>IF(AQ152="7",BH152,0)</f>
        <v>0</v>
      </c>
      <c r="AE152" s="41">
        <f>IF(AQ152="7",BI152,0)</f>
        <v>0</v>
      </c>
      <c r="AF152" s="41">
        <f>IF(AQ152="2",BH152,0)</f>
        <v>0</v>
      </c>
      <c r="AG152" s="41">
        <f>IF(AQ152="2",BI152,0)</f>
        <v>0</v>
      </c>
      <c r="AH152" s="41">
        <f>IF(AQ152="0",BJ152,0)</f>
        <v>0</v>
      </c>
      <c r="AI152" s="8" t="s">
        <v>469</v>
      </c>
      <c r="AJ152" s="41">
        <f>IF(AN152=0,J152,0)</f>
        <v>0</v>
      </c>
      <c r="AK152" s="41">
        <f>IF(AN152=12,J152,0)</f>
        <v>0</v>
      </c>
      <c r="AL152" s="41">
        <f>IF(AN152=21,J152,0)</f>
        <v>0</v>
      </c>
      <c r="AN152" s="41">
        <v>12</v>
      </c>
      <c r="AO152" s="41">
        <f>G152*0.617569065144115</f>
        <v>0</v>
      </c>
      <c r="AP152" s="41">
        <f>G152*(1-0.617569065144115)</f>
        <v>0</v>
      </c>
      <c r="AQ152" s="38" t="s">
        <v>661</v>
      </c>
      <c r="AV152" s="41">
        <f>AW152+AX152</f>
        <v>0</v>
      </c>
      <c r="AW152" s="41">
        <f>F152*AO152</f>
        <v>0</v>
      </c>
      <c r="AX152" s="41">
        <f>F152*AP152</f>
        <v>0</v>
      </c>
      <c r="AY152" s="38" t="s">
        <v>458</v>
      </c>
      <c r="AZ152" s="38" t="s">
        <v>102</v>
      </c>
      <c r="BA152" s="8" t="s">
        <v>518</v>
      </c>
      <c r="BC152" s="41">
        <f>AW152+AX152</f>
        <v>0</v>
      </c>
      <c r="BD152" s="41">
        <f>G152/(100-BE152)*100</f>
        <v>0</v>
      </c>
      <c r="BE152" s="41">
        <v>0</v>
      </c>
      <c r="BF152" s="41">
        <f>152</f>
        <v>152</v>
      </c>
      <c r="BH152" s="41">
        <f>F152*AO152</f>
        <v>0</v>
      </c>
      <c r="BI152" s="41">
        <f>F152*AP152</f>
        <v>0</v>
      </c>
      <c r="BJ152" s="41">
        <f>F152*G152</f>
        <v>0</v>
      </c>
      <c r="BK152" s="41"/>
      <c r="BL152" s="41">
        <v>64</v>
      </c>
      <c r="BW152" s="41">
        <v>12</v>
      </c>
    </row>
    <row r="153" spans="1:75" ht="15" customHeight="1">
      <c r="A153" s="17"/>
      <c r="C153" s="7" t="s">
        <v>673</v>
      </c>
      <c r="D153" s="7" t="s">
        <v>469</v>
      </c>
      <c r="F153" s="52">
        <v>2.4350000000000001</v>
      </c>
      <c r="K153" s="34"/>
    </row>
    <row r="154" spans="1:75" ht="27" customHeight="1">
      <c r="A154" s="26" t="s">
        <v>561</v>
      </c>
      <c r="B154" s="46" t="s">
        <v>715</v>
      </c>
      <c r="C154" s="66" t="s">
        <v>732</v>
      </c>
      <c r="D154" s="63"/>
      <c r="E154" s="46" t="s">
        <v>556</v>
      </c>
      <c r="F154" s="41">
        <v>3.8650000000000002</v>
      </c>
      <c r="G154" s="41">
        <v>0</v>
      </c>
      <c r="H154" s="41">
        <f>F154*AO154</f>
        <v>0</v>
      </c>
      <c r="I154" s="41">
        <f>F154*AP154</f>
        <v>0</v>
      </c>
      <c r="J154" s="41">
        <f>F154*G154</f>
        <v>0</v>
      </c>
      <c r="K154" s="13" t="s">
        <v>313</v>
      </c>
      <c r="Z154" s="41">
        <f>IF(AQ154="5",BJ154,0)</f>
        <v>0</v>
      </c>
      <c r="AB154" s="41">
        <f>IF(AQ154="1",BH154,0)</f>
        <v>0</v>
      </c>
      <c r="AC154" s="41">
        <f>IF(AQ154="1",BI154,0)</f>
        <v>0</v>
      </c>
      <c r="AD154" s="41">
        <f>IF(AQ154="7",BH154,0)</f>
        <v>0</v>
      </c>
      <c r="AE154" s="41">
        <f>IF(AQ154="7",BI154,0)</f>
        <v>0</v>
      </c>
      <c r="AF154" s="41">
        <f>IF(AQ154="2",BH154,0)</f>
        <v>0</v>
      </c>
      <c r="AG154" s="41">
        <f>IF(AQ154="2",BI154,0)</f>
        <v>0</v>
      </c>
      <c r="AH154" s="41">
        <f>IF(AQ154="0",BJ154,0)</f>
        <v>0</v>
      </c>
      <c r="AI154" s="8" t="s">
        <v>469</v>
      </c>
      <c r="AJ154" s="41">
        <f>IF(AN154=0,J154,0)</f>
        <v>0</v>
      </c>
      <c r="AK154" s="41">
        <f>IF(AN154=12,J154,0)</f>
        <v>0</v>
      </c>
      <c r="AL154" s="41">
        <f>IF(AN154=21,J154,0)</f>
        <v>0</v>
      </c>
      <c r="AN154" s="41">
        <v>12</v>
      </c>
      <c r="AO154" s="41">
        <f>G154*0.642706054078567</f>
        <v>0</v>
      </c>
      <c r="AP154" s="41">
        <f>G154*(1-0.642706054078567)</f>
        <v>0</v>
      </c>
      <c r="AQ154" s="38" t="s">
        <v>661</v>
      </c>
      <c r="AV154" s="41">
        <f>AW154+AX154</f>
        <v>0</v>
      </c>
      <c r="AW154" s="41">
        <f>F154*AO154</f>
        <v>0</v>
      </c>
      <c r="AX154" s="41">
        <f>F154*AP154</f>
        <v>0</v>
      </c>
      <c r="AY154" s="38" t="s">
        <v>458</v>
      </c>
      <c r="AZ154" s="38" t="s">
        <v>102</v>
      </c>
      <c r="BA154" s="8" t="s">
        <v>518</v>
      </c>
      <c r="BC154" s="41">
        <f>AW154+AX154</f>
        <v>0</v>
      </c>
      <c r="BD154" s="41">
        <f>G154/(100-BE154)*100</f>
        <v>0</v>
      </c>
      <c r="BE154" s="41">
        <v>0</v>
      </c>
      <c r="BF154" s="41">
        <f>154</f>
        <v>154</v>
      </c>
      <c r="BH154" s="41">
        <f>F154*AO154</f>
        <v>0</v>
      </c>
      <c r="BI154" s="41">
        <f>F154*AP154</f>
        <v>0</v>
      </c>
      <c r="BJ154" s="41">
        <f>F154*G154</f>
        <v>0</v>
      </c>
      <c r="BK154" s="41"/>
      <c r="BL154" s="41">
        <v>64</v>
      </c>
      <c r="BW154" s="41">
        <v>12</v>
      </c>
    </row>
    <row r="155" spans="1:75" ht="15" customHeight="1">
      <c r="A155" s="17"/>
      <c r="C155" s="7" t="s">
        <v>462</v>
      </c>
      <c r="D155" s="7" t="s">
        <v>469</v>
      </c>
      <c r="F155" s="52">
        <v>2.2600000000000002</v>
      </c>
      <c r="K155" s="34"/>
    </row>
    <row r="156" spans="1:75" ht="15" customHeight="1">
      <c r="A156" s="17"/>
      <c r="C156" s="7" t="s">
        <v>50</v>
      </c>
      <c r="D156" s="7" t="s">
        <v>469</v>
      </c>
      <c r="F156" s="52">
        <v>1.6050000000000002</v>
      </c>
      <c r="K156" s="34"/>
    </row>
    <row r="157" spans="1:75" ht="27" customHeight="1">
      <c r="A157" s="26" t="s">
        <v>158</v>
      </c>
      <c r="B157" s="46" t="s">
        <v>132</v>
      </c>
      <c r="C157" s="66" t="s">
        <v>303</v>
      </c>
      <c r="D157" s="63"/>
      <c r="E157" s="46" t="s">
        <v>556</v>
      </c>
      <c r="F157" s="41">
        <v>9.2650000000000006</v>
      </c>
      <c r="G157" s="41">
        <v>0</v>
      </c>
      <c r="H157" s="41">
        <f>F157*AO157</f>
        <v>0</v>
      </c>
      <c r="I157" s="41">
        <f>F157*AP157</f>
        <v>0</v>
      </c>
      <c r="J157" s="41">
        <f>F157*G157</f>
        <v>0</v>
      </c>
      <c r="K157" s="13" t="s">
        <v>313</v>
      </c>
      <c r="Z157" s="41">
        <f>IF(AQ157="5",BJ157,0)</f>
        <v>0</v>
      </c>
      <c r="AB157" s="41">
        <f>IF(AQ157="1",BH157,0)</f>
        <v>0</v>
      </c>
      <c r="AC157" s="41">
        <f>IF(AQ157="1",BI157,0)</f>
        <v>0</v>
      </c>
      <c r="AD157" s="41">
        <f>IF(AQ157="7",BH157,0)</f>
        <v>0</v>
      </c>
      <c r="AE157" s="41">
        <f>IF(AQ157="7",BI157,0)</f>
        <v>0</v>
      </c>
      <c r="AF157" s="41">
        <f>IF(AQ157="2",BH157,0)</f>
        <v>0</v>
      </c>
      <c r="AG157" s="41">
        <f>IF(AQ157="2",BI157,0)</f>
        <v>0</v>
      </c>
      <c r="AH157" s="41">
        <f>IF(AQ157="0",BJ157,0)</f>
        <v>0</v>
      </c>
      <c r="AI157" s="8" t="s">
        <v>469</v>
      </c>
      <c r="AJ157" s="41">
        <f>IF(AN157=0,J157,0)</f>
        <v>0</v>
      </c>
      <c r="AK157" s="41">
        <f>IF(AN157=12,J157,0)</f>
        <v>0</v>
      </c>
      <c r="AL157" s="41">
        <f>IF(AN157=21,J157,0)</f>
        <v>0</v>
      </c>
      <c r="AN157" s="41">
        <v>12</v>
      </c>
      <c r="AO157" s="41">
        <f>G157*0.686387362637363</f>
        <v>0</v>
      </c>
      <c r="AP157" s="41">
        <f>G157*(1-0.686387362637363)</f>
        <v>0</v>
      </c>
      <c r="AQ157" s="38" t="s">
        <v>661</v>
      </c>
      <c r="AV157" s="41">
        <f>AW157+AX157</f>
        <v>0</v>
      </c>
      <c r="AW157" s="41">
        <f>F157*AO157</f>
        <v>0</v>
      </c>
      <c r="AX157" s="41">
        <f>F157*AP157</f>
        <v>0</v>
      </c>
      <c r="AY157" s="38" t="s">
        <v>458</v>
      </c>
      <c r="AZ157" s="38" t="s">
        <v>102</v>
      </c>
      <c r="BA157" s="8" t="s">
        <v>518</v>
      </c>
      <c r="BC157" s="41">
        <f>AW157+AX157</f>
        <v>0</v>
      </c>
      <c r="BD157" s="41">
        <f>G157/(100-BE157)*100</f>
        <v>0</v>
      </c>
      <c r="BE157" s="41">
        <v>0</v>
      </c>
      <c r="BF157" s="41">
        <f>157</f>
        <v>157</v>
      </c>
      <c r="BH157" s="41">
        <f>F157*AO157</f>
        <v>0</v>
      </c>
      <c r="BI157" s="41">
        <f>F157*AP157</f>
        <v>0</v>
      </c>
      <c r="BJ157" s="41">
        <f>F157*G157</f>
        <v>0</v>
      </c>
      <c r="BK157" s="41"/>
      <c r="BL157" s="41">
        <v>64</v>
      </c>
      <c r="BW157" s="41">
        <v>12</v>
      </c>
    </row>
    <row r="158" spans="1:75" ht="15" customHeight="1">
      <c r="A158" s="17"/>
      <c r="C158" s="7" t="s">
        <v>664</v>
      </c>
      <c r="D158" s="7" t="s">
        <v>469</v>
      </c>
      <c r="F158" s="52">
        <v>2.4700000000000002</v>
      </c>
      <c r="K158" s="34"/>
    </row>
    <row r="159" spans="1:75" ht="15" customHeight="1">
      <c r="A159" s="17"/>
      <c r="C159" s="7" t="s">
        <v>61</v>
      </c>
      <c r="D159" s="7" t="s">
        <v>469</v>
      </c>
      <c r="F159" s="52">
        <v>0.93</v>
      </c>
      <c r="K159" s="34"/>
    </row>
    <row r="160" spans="1:75" ht="15" customHeight="1">
      <c r="A160" s="17"/>
      <c r="C160" s="7" t="s">
        <v>614</v>
      </c>
      <c r="D160" s="7" t="s">
        <v>469</v>
      </c>
      <c r="F160" s="52">
        <v>2.0450000000000004</v>
      </c>
      <c r="K160" s="34"/>
    </row>
    <row r="161" spans="1:75" ht="15" customHeight="1">
      <c r="A161" s="17"/>
      <c r="C161" s="7" t="s">
        <v>298</v>
      </c>
      <c r="D161" s="7" t="s">
        <v>469</v>
      </c>
      <c r="F161" s="52">
        <v>1.4200000000000002</v>
      </c>
      <c r="K161" s="34"/>
    </row>
    <row r="162" spans="1:75" ht="15" customHeight="1">
      <c r="A162" s="17"/>
      <c r="C162" s="7" t="s">
        <v>139</v>
      </c>
      <c r="D162" s="7" t="s">
        <v>469</v>
      </c>
      <c r="F162" s="52">
        <v>2.4000000000000004</v>
      </c>
      <c r="K162" s="34"/>
    </row>
    <row r="163" spans="1:75" ht="15" customHeight="1">
      <c r="A163" s="11" t="s">
        <v>469</v>
      </c>
      <c r="B163" s="16" t="s">
        <v>538</v>
      </c>
      <c r="C163" s="79" t="s">
        <v>572</v>
      </c>
      <c r="D163" s="80"/>
      <c r="E163" s="58" t="s">
        <v>619</v>
      </c>
      <c r="F163" s="58" t="s">
        <v>619</v>
      </c>
      <c r="G163" s="58" t="s">
        <v>619</v>
      </c>
      <c r="H163" s="49">
        <f>SUM(H164:H182)</f>
        <v>0</v>
      </c>
      <c r="I163" s="49">
        <f>SUM(I164:I182)</f>
        <v>0</v>
      </c>
      <c r="J163" s="49">
        <f>SUM(J164:J182)</f>
        <v>0</v>
      </c>
      <c r="K163" s="32" t="s">
        <v>469</v>
      </c>
      <c r="AI163" s="8" t="s">
        <v>469</v>
      </c>
      <c r="AS163" s="49">
        <f>SUM(AJ164:AJ182)</f>
        <v>0</v>
      </c>
      <c r="AT163" s="49">
        <f>SUM(AK164:AK182)</f>
        <v>0</v>
      </c>
      <c r="AU163" s="49">
        <f>SUM(AL164:AL182)</f>
        <v>0</v>
      </c>
    </row>
    <row r="164" spans="1:75" ht="13.5" customHeight="1">
      <c r="A164" s="26" t="s">
        <v>746</v>
      </c>
      <c r="B164" s="46" t="s">
        <v>10</v>
      </c>
      <c r="C164" s="66" t="s">
        <v>612</v>
      </c>
      <c r="D164" s="63"/>
      <c r="E164" s="46" t="s">
        <v>654</v>
      </c>
      <c r="F164" s="41">
        <v>18.657</v>
      </c>
      <c r="G164" s="41">
        <v>0</v>
      </c>
      <c r="H164" s="41">
        <f>F164*AO164</f>
        <v>0</v>
      </c>
      <c r="I164" s="41">
        <f>F164*AP164</f>
        <v>0</v>
      </c>
      <c r="J164" s="41">
        <f>F164*G164</f>
        <v>0</v>
      </c>
      <c r="K164" s="13" t="s">
        <v>313</v>
      </c>
      <c r="Z164" s="41">
        <f>IF(AQ164="5",BJ164,0)</f>
        <v>0</v>
      </c>
      <c r="AB164" s="41">
        <f>IF(AQ164="1",BH164,0)</f>
        <v>0</v>
      </c>
      <c r="AC164" s="41">
        <f>IF(AQ164="1",BI164,0)</f>
        <v>0</v>
      </c>
      <c r="AD164" s="41">
        <f>IF(AQ164="7",BH164,0)</f>
        <v>0</v>
      </c>
      <c r="AE164" s="41">
        <f>IF(AQ164="7",BI164,0)</f>
        <v>0</v>
      </c>
      <c r="AF164" s="41">
        <f>IF(AQ164="2",BH164,0)</f>
        <v>0</v>
      </c>
      <c r="AG164" s="41">
        <f>IF(AQ164="2",BI164,0)</f>
        <v>0</v>
      </c>
      <c r="AH164" s="41">
        <f>IF(AQ164="0",BJ164,0)</f>
        <v>0</v>
      </c>
      <c r="AI164" s="8" t="s">
        <v>469</v>
      </c>
      <c r="AJ164" s="41">
        <f>IF(AN164=0,J164,0)</f>
        <v>0</v>
      </c>
      <c r="AK164" s="41">
        <f>IF(AN164=12,J164,0)</f>
        <v>0</v>
      </c>
      <c r="AL164" s="41">
        <f>IF(AN164=21,J164,0)</f>
        <v>0</v>
      </c>
      <c r="AN164" s="41">
        <v>12</v>
      </c>
      <c r="AO164" s="41">
        <f>G164*0</f>
        <v>0</v>
      </c>
      <c r="AP164" s="41">
        <f>G164*(1-0)</f>
        <v>0</v>
      </c>
      <c r="AQ164" s="38" t="s">
        <v>665</v>
      </c>
      <c r="AV164" s="41">
        <f>AW164+AX164</f>
        <v>0</v>
      </c>
      <c r="AW164" s="41">
        <f>F164*AO164</f>
        <v>0</v>
      </c>
      <c r="AX164" s="41">
        <f>F164*AP164</f>
        <v>0</v>
      </c>
      <c r="AY164" s="38" t="s">
        <v>523</v>
      </c>
      <c r="AZ164" s="38" t="s">
        <v>548</v>
      </c>
      <c r="BA164" s="8" t="s">
        <v>518</v>
      </c>
      <c r="BC164" s="41">
        <f>AW164+AX164</f>
        <v>0</v>
      </c>
      <c r="BD164" s="41">
        <f>G164/(100-BE164)*100</f>
        <v>0</v>
      </c>
      <c r="BE164" s="41">
        <v>0</v>
      </c>
      <c r="BF164" s="41">
        <f>164</f>
        <v>164</v>
      </c>
      <c r="BH164" s="41">
        <f>F164*AO164</f>
        <v>0</v>
      </c>
      <c r="BI164" s="41">
        <f>F164*AP164</f>
        <v>0</v>
      </c>
      <c r="BJ164" s="41">
        <f>F164*G164</f>
        <v>0</v>
      </c>
      <c r="BK164" s="41"/>
      <c r="BL164" s="41">
        <v>713</v>
      </c>
      <c r="BW164" s="41">
        <v>12</v>
      </c>
    </row>
    <row r="165" spans="1:75" ht="15" customHeight="1">
      <c r="A165" s="17"/>
      <c r="C165" s="7" t="s">
        <v>391</v>
      </c>
      <c r="D165" s="7" t="s">
        <v>469</v>
      </c>
      <c r="F165" s="52">
        <v>18.657</v>
      </c>
      <c r="K165" s="34"/>
    </row>
    <row r="166" spans="1:75" ht="13.5" customHeight="1">
      <c r="A166" s="26" t="s">
        <v>592</v>
      </c>
      <c r="B166" s="46" t="s">
        <v>422</v>
      </c>
      <c r="C166" s="66" t="s">
        <v>108</v>
      </c>
      <c r="D166" s="63"/>
      <c r="E166" s="46" t="s">
        <v>654</v>
      </c>
      <c r="F166" s="41">
        <v>20.5227</v>
      </c>
      <c r="G166" s="41">
        <v>0</v>
      </c>
      <c r="H166" s="41">
        <f>F166*AO166</f>
        <v>0</v>
      </c>
      <c r="I166" s="41">
        <f>F166*AP166</f>
        <v>0</v>
      </c>
      <c r="J166" s="41">
        <f>F166*G166</f>
        <v>0</v>
      </c>
      <c r="K166" s="13" t="s">
        <v>313</v>
      </c>
      <c r="Z166" s="41">
        <f>IF(AQ166="5",BJ166,0)</f>
        <v>0</v>
      </c>
      <c r="AB166" s="41">
        <f>IF(AQ166="1",BH166,0)</f>
        <v>0</v>
      </c>
      <c r="AC166" s="41">
        <f>IF(AQ166="1",BI166,0)</f>
        <v>0</v>
      </c>
      <c r="AD166" s="41">
        <f>IF(AQ166="7",BH166,0)</f>
        <v>0</v>
      </c>
      <c r="AE166" s="41">
        <f>IF(AQ166="7",BI166,0)</f>
        <v>0</v>
      </c>
      <c r="AF166" s="41">
        <f>IF(AQ166="2",BH166,0)</f>
        <v>0</v>
      </c>
      <c r="AG166" s="41">
        <f>IF(AQ166="2",BI166,0)</f>
        <v>0</v>
      </c>
      <c r="AH166" s="41">
        <f>IF(AQ166="0",BJ166,0)</f>
        <v>0</v>
      </c>
      <c r="AI166" s="8" t="s">
        <v>469</v>
      </c>
      <c r="AJ166" s="41">
        <f>IF(AN166=0,J166,0)</f>
        <v>0</v>
      </c>
      <c r="AK166" s="41">
        <f>IF(AN166=12,J166,0)</f>
        <v>0</v>
      </c>
      <c r="AL166" s="41">
        <f>IF(AN166=21,J166,0)</f>
        <v>0</v>
      </c>
      <c r="AN166" s="41">
        <v>12</v>
      </c>
      <c r="AO166" s="41">
        <f>G166*1</f>
        <v>0</v>
      </c>
      <c r="AP166" s="41">
        <f>G166*(1-1)</f>
        <v>0</v>
      </c>
      <c r="AQ166" s="38" t="s">
        <v>665</v>
      </c>
      <c r="AV166" s="41">
        <f>AW166+AX166</f>
        <v>0</v>
      </c>
      <c r="AW166" s="41">
        <f>F166*AO166</f>
        <v>0</v>
      </c>
      <c r="AX166" s="41">
        <f>F166*AP166</f>
        <v>0</v>
      </c>
      <c r="AY166" s="38" t="s">
        <v>523</v>
      </c>
      <c r="AZ166" s="38" t="s">
        <v>548</v>
      </c>
      <c r="BA166" s="8" t="s">
        <v>518</v>
      </c>
      <c r="BC166" s="41">
        <f>AW166+AX166</f>
        <v>0</v>
      </c>
      <c r="BD166" s="41">
        <f>G166/(100-BE166)*100</f>
        <v>0</v>
      </c>
      <c r="BE166" s="41">
        <v>0</v>
      </c>
      <c r="BF166" s="41">
        <f>166</f>
        <v>166</v>
      </c>
      <c r="BH166" s="41">
        <f>F166*AO166</f>
        <v>0</v>
      </c>
      <c r="BI166" s="41">
        <f>F166*AP166</f>
        <v>0</v>
      </c>
      <c r="BJ166" s="41">
        <f>F166*G166</f>
        <v>0</v>
      </c>
      <c r="BK166" s="41"/>
      <c r="BL166" s="41">
        <v>713</v>
      </c>
      <c r="BW166" s="41">
        <v>12</v>
      </c>
    </row>
    <row r="167" spans="1:75" ht="15" customHeight="1">
      <c r="A167" s="17"/>
      <c r="C167" s="7" t="s">
        <v>195</v>
      </c>
      <c r="D167" s="7" t="s">
        <v>469</v>
      </c>
      <c r="F167" s="52">
        <v>20.5227</v>
      </c>
      <c r="K167" s="34"/>
    </row>
    <row r="168" spans="1:75" ht="13.5" customHeight="1">
      <c r="A168" s="26" t="s">
        <v>397</v>
      </c>
      <c r="B168" s="46" t="s">
        <v>111</v>
      </c>
      <c r="C168" s="66" t="s">
        <v>249</v>
      </c>
      <c r="D168" s="63"/>
      <c r="E168" s="46" t="s">
        <v>654</v>
      </c>
      <c r="F168" s="41">
        <v>180</v>
      </c>
      <c r="G168" s="41">
        <v>0</v>
      </c>
      <c r="H168" s="41">
        <f>F168*AO168</f>
        <v>0</v>
      </c>
      <c r="I168" s="41">
        <f>F168*AP168</f>
        <v>0</v>
      </c>
      <c r="J168" s="41">
        <f>F168*G168</f>
        <v>0</v>
      </c>
      <c r="K168" s="13" t="s">
        <v>313</v>
      </c>
      <c r="Z168" s="41">
        <f>IF(AQ168="5",BJ168,0)</f>
        <v>0</v>
      </c>
      <c r="AB168" s="41">
        <f>IF(AQ168="1",BH168,0)</f>
        <v>0</v>
      </c>
      <c r="AC168" s="41">
        <f>IF(AQ168="1",BI168,0)</f>
        <v>0</v>
      </c>
      <c r="AD168" s="41">
        <f>IF(AQ168="7",BH168,0)</f>
        <v>0</v>
      </c>
      <c r="AE168" s="41">
        <f>IF(AQ168="7",BI168,0)</f>
        <v>0</v>
      </c>
      <c r="AF168" s="41">
        <f>IF(AQ168="2",BH168,0)</f>
        <v>0</v>
      </c>
      <c r="AG168" s="41">
        <f>IF(AQ168="2",BI168,0)</f>
        <v>0</v>
      </c>
      <c r="AH168" s="41">
        <f>IF(AQ168="0",BJ168,0)</f>
        <v>0</v>
      </c>
      <c r="AI168" s="8" t="s">
        <v>469</v>
      </c>
      <c r="AJ168" s="41">
        <f>IF(AN168=0,J168,0)</f>
        <v>0</v>
      </c>
      <c r="AK168" s="41">
        <f>IF(AN168=12,J168,0)</f>
        <v>0</v>
      </c>
      <c r="AL168" s="41">
        <f>IF(AN168=21,J168,0)</f>
        <v>0</v>
      </c>
      <c r="AN168" s="41">
        <v>12</v>
      </c>
      <c r="AO168" s="41">
        <f>G168*0.102902630812542</f>
        <v>0</v>
      </c>
      <c r="AP168" s="41">
        <f>G168*(1-0.102902630812542)</f>
        <v>0</v>
      </c>
      <c r="AQ168" s="38" t="s">
        <v>665</v>
      </c>
      <c r="AV168" s="41">
        <f>AW168+AX168</f>
        <v>0</v>
      </c>
      <c r="AW168" s="41">
        <f>F168*AO168</f>
        <v>0</v>
      </c>
      <c r="AX168" s="41">
        <f>F168*AP168</f>
        <v>0</v>
      </c>
      <c r="AY168" s="38" t="s">
        <v>523</v>
      </c>
      <c r="AZ168" s="38" t="s">
        <v>548</v>
      </c>
      <c r="BA168" s="8" t="s">
        <v>518</v>
      </c>
      <c r="BC168" s="41">
        <f>AW168+AX168</f>
        <v>0</v>
      </c>
      <c r="BD168" s="41">
        <f>G168/(100-BE168)*100</f>
        <v>0</v>
      </c>
      <c r="BE168" s="41">
        <v>0</v>
      </c>
      <c r="BF168" s="41">
        <f>168</f>
        <v>168</v>
      </c>
      <c r="BH168" s="41">
        <f>F168*AO168</f>
        <v>0</v>
      </c>
      <c r="BI168" s="41">
        <f>F168*AP168</f>
        <v>0</v>
      </c>
      <c r="BJ168" s="41">
        <f>F168*G168</f>
        <v>0</v>
      </c>
      <c r="BK168" s="41"/>
      <c r="BL168" s="41">
        <v>713</v>
      </c>
      <c r="BW168" s="41">
        <v>12</v>
      </c>
    </row>
    <row r="169" spans="1:75" ht="15" customHeight="1">
      <c r="A169" s="17"/>
      <c r="C169" s="7" t="s">
        <v>244</v>
      </c>
      <c r="D169" s="7" t="s">
        <v>469</v>
      </c>
      <c r="F169" s="52">
        <v>180.00000000000003</v>
      </c>
      <c r="K169" s="34"/>
    </row>
    <row r="170" spans="1:75" ht="13.5" customHeight="1">
      <c r="A170" s="26" t="s">
        <v>652</v>
      </c>
      <c r="B170" s="46" t="s">
        <v>577</v>
      </c>
      <c r="C170" s="66" t="s">
        <v>630</v>
      </c>
      <c r="D170" s="63"/>
      <c r="E170" s="46" t="s">
        <v>654</v>
      </c>
      <c r="F170" s="41">
        <v>94.5</v>
      </c>
      <c r="G170" s="41">
        <v>0</v>
      </c>
      <c r="H170" s="41">
        <f>F170*AO170</f>
        <v>0</v>
      </c>
      <c r="I170" s="41">
        <f>F170*AP170</f>
        <v>0</v>
      </c>
      <c r="J170" s="41">
        <f>F170*G170</f>
        <v>0</v>
      </c>
      <c r="K170" s="13" t="s">
        <v>313</v>
      </c>
      <c r="Z170" s="41">
        <f>IF(AQ170="5",BJ170,0)</f>
        <v>0</v>
      </c>
      <c r="AB170" s="41">
        <f>IF(AQ170="1",BH170,0)</f>
        <v>0</v>
      </c>
      <c r="AC170" s="41">
        <f>IF(AQ170="1",BI170,0)</f>
        <v>0</v>
      </c>
      <c r="AD170" s="41">
        <f>IF(AQ170="7",BH170,0)</f>
        <v>0</v>
      </c>
      <c r="AE170" s="41">
        <f>IF(AQ170="7",BI170,0)</f>
        <v>0</v>
      </c>
      <c r="AF170" s="41">
        <f>IF(AQ170="2",BH170,0)</f>
        <v>0</v>
      </c>
      <c r="AG170" s="41">
        <f>IF(AQ170="2",BI170,0)</f>
        <v>0</v>
      </c>
      <c r="AH170" s="41">
        <f>IF(AQ170="0",BJ170,0)</f>
        <v>0</v>
      </c>
      <c r="AI170" s="8" t="s">
        <v>469</v>
      </c>
      <c r="AJ170" s="41">
        <f>IF(AN170=0,J170,0)</f>
        <v>0</v>
      </c>
      <c r="AK170" s="41">
        <f>IF(AN170=12,J170,0)</f>
        <v>0</v>
      </c>
      <c r="AL170" s="41">
        <f>IF(AN170=21,J170,0)</f>
        <v>0</v>
      </c>
      <c r="AN170" s="41">
        <v>12</v>
      </c>
      <c r="AO170" s="41">
        <f>G170*1</f>
        <v>0</v>
      </c>
      <c r="AP170" s="41">
        <f>G170*(1-1)</f>
        <v>0</v>
      </c>
      <c r="AQ170" s="38" t="s">
        <v>665</v>
      </c>
      <c r="AV170" s="41">
        <f>AW170+AX170</f>
        <v>0</v>
      </c>
      <c r="AW170" s="41">
        <f>F170*AO170</f>
        <v>0</v>
      </c>
      <c r="AX170" s="41">
        <f>F170*AP170</f>
        <v>0</v>
      </c>
      <c r="AY170" s="38" t="s">
        <v>523</v>
      </c>
      <c r="AZ170" s="38" t="s">
        <v>548</v>
      </c>
      <c r="BA170" s="8" t="s">
        <v>518</v>
      </c>
      <c r="BC170" s="41">
        <f>AW170+AX170</f>
        <v>0</v>
      </c>
      <c r="BD170" s="41">
        <f>G170/(100-BE170)*100</f>
        <v>0</v>
      </c>
      <c r="BE170" s="41">
        <v>0</v>
      </c>
      <c r="BF170" s="41">
        <f>170</f>
        <v>170</v>
      </c>
      <c r="BH170" s="41">
        <f>F170*AO170</f>
        <v>0</v>
      </c>
      <c r="BI170" s="41">
        <f>F170*AP170</f>
        <v>0</v>
      </c>
      <c r="BJ170" s="41">
        <f>F170*G170</f>
        <v>0</v>
      </c>
      <c r="BK170" s="41"/>
      <c r="BL170" s="41">
        <v>713</v>
      </c>
      <c r="BW170" s="41">
        <v>12</v>
      </c>
    </row>
    <row r="171" spans="1:75" ht="15" customHeight="1">
      <c r="A171" s="17"/>
      <c r="C171" s="7" t="s">
        <v>421</v>
      </c>
      <c r="D171" s="7" t="s">
        <v>469</v>
      </c>
      <c r="F171" s="52">
        <v>94.500000000000014</v>
      </c>
      <c r="K171" s="34"/>
    </row>
    <row r="172" spans="1:75" ht="13.5" customHeight="1">
      <c r="A172" s="26" t="s">
        <v>406</v>
      </c>
      <c r="B172" s="46" t="s">
        <v>172</v>
      </c>
      <c r="C172" s="66" t="s">
        <v>170</v>
      </c>
      <c r="D172" s="63"/>
      <c r="E172" s="46" t="s">
        <v>654</v>
      </c>
      <c r="F172" s="41">
        <v>94.5</v>
      </c>
      <c r="G172" s="41">
        <v>0</v>
      </c>
      <c r="H172" s="41">
        <f>F172*AO172</f>
        <v>0</v>
      </c>
      <c r="I172" s="41">
        <f>F172*AP172</f>
        <v>0</v>
      </c>
      <c r="J172" s="41">
        <f>F172*G172</f>
        <v>0</v>
      </c>
      <c r="K172" s="13" t="s">
        <v>313</v>
      </c>
      <c r="Z172" s="41">
        <f>IF(AQ172="5",BJ172,0)</f>
        <v>0</v>
      </c>
      <c r="AB172" s="41">
        <f>IF(AQ172="1",BH172,0)</f>
        <v>0</v>
      </c>
      <c r="AC172" s="41">
        <f>IF(AQ172="1",BI172,0)</f>
        <v>0</v>
      </c>
      <c r="AD172" s="41">
        <f>IF(AQ172="7",BH172,0)</f>
        <v>0</v>
      </c>
      <c r="AE172" s="41">
        <f>IF(AQ172="7",BI172,0)</f>
        <v>0</v>
      </c>
      <c r="AF172" s="41">
        <f>IF(AQ172="2",BH172,0)</f>
        <v>0</v>
      </c>
      <c r="AG172" s="41">
        <f>IF(AQ172="2",BI172,0)</f>
        <v>0</v>
      </c>
      <c r="AH172" s="41">
        <f>IF(AQ172="0",BJ172,0)</f>
        <v>0</v>
      </c>
      <c r="AI172" s="8" t="s">
        <v>469</v>
      </c>
      <c r="AJ172" s="41">
        <f>IF(AN172=0,J172,0)</f>
        <v>0</v>
      </c>
      <c r="AK172" s="41">
        <f>IF(AN172=12,J172,0)</f>
        <v>0</v>
      </c>
      <c r="AL172" s="41">
        <f>IF(AN172=21,J172,0)</f>
        <v>0</v>
      </c>
      <c r="AN172" s="41">
        <v>12</v>
      </c>
      <c r="AO172" s="41">
        <f>G172*1</f>
        <v>0</v>
      </c>
      <c r="AP172" s="41">
        <f>G172*(1-1)</f>
        <v>0</v>
      </c>
      <c r="AQ172" s="38" t="s">
        <v>665</v>
      </c>
      <c r="AV172" s="41">
        <f>AW172+AX172</f>
        <v>0</v>
      </c>
      <c r="AW172" s="41">
        <f>F172*AO172</f>
        <v>0</v>
      </c>
      <c r="AX172" s="41">
        <f>F172*AP172</f>
        <v>0</v>
      </c>
      <c r="AY172" s="38" t="s">
        <v>523</v>
      </c>
      <c r="AZ172" s="38" t="s">
        <v>548</v>
      </c>
      <c r="BA172" s="8" t="s">
        <v>518</v>
      </c>
      <c r="BC172" s="41">
        <f>AW172+AX172</f>
        <v>0</v>
      </c>
      <c r="BD172" s="41">
        <f>G172/(100-BE172)*100</f>
        <v>0</v>
      </c>
      <c r="BE172" s="41">
        <v>0</v>
      </c>
      <c r="BF172" s="41">
        <f>172</f>
        <v>172</v>
      </c>
      <c r="BH172" s="41">
        <f>F172*AO172</f>
        <v>0</v>
      </c>
      <c r="BI172" s="41">
        <f>F172*AP172</f>
        <v>0</v>
      </c>
      <c r="BJ172" s="41">
        <f>F172*G172</f>
        <v>0</v>
      </c>
      <c r="BK172" s="41"/>
      <c r="BL172" s="41">
        <v>713</v>
      </c>
      <c r="BW172" s="41">
        <v>12</v>
      </c>
    </row>
    <row r="173" spans="1:75" ht="15" customHeight="1">
      <c r="A173" s="17"/>
      <c r="C173" s="7" t="s">
        <v>421</v>
      </c>
      <c r="D173" s="7" t="s">
        <v>469</v>
      </c>
      <c r="F173" s="52">
        <v>94.500000000000014</v>
      </c>
      <c r="K173" s="34"/>
    </row>
    <row r="174" spans="1:75" ht="13.5" customHeight="1">
      <c r="A174" s="26" t="s">
        <v>439</v>
      </c>
      <c r="B174" s="46" t="s">
        <v>483</v>
      </c>
      <c r="C174" s="66" t="s">
        <v>631</v>
      </c>
      <c r="D174" s="63"/>
      <c r="E174" s="46" t="s">
        <v>654</v>
      </c>
      <c r="F174" s="41">
        <v>94.5</v>
      </c>
      <c r="G174" s="41">
        <v>0</v>
      </c>
      <c r="H174" s="41">
        <f>F174*AO174</f>
        <v>0</v>
      </c>
      <c r="I174" s="41">
        <f>F174*AP174</f>
        <v>0</v>
      </c>
      <c r="J174" s="41">
        <f>F174*G174</f>
        <v>0</v>
      </c>
      <c r="K174" s="13" t="s">
        <v>313</v>
      </c>
      <c r="Z174" s="41">
        <f>IF(AQ174="5",BJ174,0)</f>
        <v>0</v>
      </c>
      <c r="AB174" s="41">
        <f>IF(AQ174="1",BH174,0)</f>
        <v>0</v>
      </c>
      <c r="AC174" s="41">
        <f>IF(AQ174="1",BI174,0)</f>
        <v>0</v>
      </c>
      <c r="AD174" s="41">
        <f>IF(AQ174="7",BH174,0)</f>
        <v>0</v>
      </c>
      <c r="AE174" s="41">
        <f>IF(AQ174="7",BI174,0)</f>
        <v>0</v>
      </c>
      <c r="AF174" s="41">
        <f>IF(AQ174="2",BH174,0)</f>
        <v>0</v>
      </c>
      <c r="AG174" s="41">
        <f>IF(AQ174="2",BI174,0)</f>
        <v>0</v>
      </c>
      <c r="AH174" s="41">
        <f>IF(AQ174="0",BJ174,0)</f>
        <v>0</v>
      </c>
      <c r="AI174" s="8" t="s">
        <v>469</v>
      </c>
      <c r="AJ174" s="41">
        <f>IF(AN174=0,J174,0)</f>
        <v>0</v>
      </c>
      <c r="AK174" s="41">
        <f>IF(AN174=12,J174,0)</f>
        <v>0</v>
      </c>
      <c r="AL174" s="41">
        <f>IF(AN174=21,J174,0)</f>
        <v>0</v>
      </c>
      <c r="AN174" s="41">
        <v>12</v>
      </c>
      <c r="AO174" s="41">
        <f>G174*0.321865596790371</f>
        <v>0</v>
      </c>
      <c r="AP174" s="41">
        <f>G174*(1-0.321865596790371)</f>
        <v>0</v>
      </c>
      <c r="AQ174" s="38" t="s">
        <v>665</v>
      </c>
      <c r="AV174" s="41">
        <f>AW174+AX174</f>
        <v>0</v>
      </c>
      <c r="AW174" s="41">
        <f>F174*AO174</f>
        <v>0</v>
      </c>
      <c r="AX174" s="41">
        <f>F174*AP174</f>
        <v>0</v>
      </c>
      <c r="AY174" s="38" t="s">
        <v>523</v>
      </c>
      <c r="AZ174" s="38" t="s">
        <v>548</v>
      </c>
      <c r="BA174" s="8" t="s">
        <v>518</v>
      </c>
      <c r="BC174" s="41">
        <f>AW174+AX174</f>
        <v>0</v>
      </c>
      <c r="BD174" s="41">
        <f>G174/(100-BE174)*100</f>
        <v>0</v>
      </c>
      <c r="BE174" s="41">
        <v>0</v>
      </c>
      <c r="BF174" s="41">
        <f>174</f>
        <v>174</v>
      </c>
      <c r="BH174" s="41">
        <f>F174*AO174</f>
        <v>0</v>
      </c>
      <c r="BI174" s="41">
        <f>F174*AP174</f>
        <v>0</v>
      </c>
      <c r="BJ174" s="41">
        <f>F174*G174</f>
        <v>0</v>
      </c>
      <c r="BK174" s="41"/>
      <c r="BL174" s="41">
        <v>713</v>
      </c>
      <c r="BW174" s="41">
        <v>12</v>
      </c>
    </row>
    <row r="175" spans="1:75" ht="15" customHeight="1">
      <c r="A175" s="17"/>
      <c r="C175" s="7" t="s">
        <v>421</v>
      </c>
      <c r="D175" s="7" t="s">
        <v>469</v>
      </c>
      <c r="F175" s="52">
        <v>94.500000000000014</v>
      </c>
      <c r="K175" s="34"/>
    </row>
    <row r="176" spans="1:75" ht="27" customHeight="1">
      <c r="A176" s="26" t="s">
        <v>246</v>
      </c>
      <c r="B176" s="46" t="s">
        <v>325</v>
      </c>
      <c r="C176" s="66" t="s">
        <v>733</v>
      </c>
      <c r="D176" s="63"/>
      <c r="E176" s="46" t="s">
        <v>654</v>
      </c>
      <c r="F176" s="41">
        <v>200</v>
      </c>
      <c r="G176" s="41">
        <v>0</v>
      </c>
      <c r="H176" s="41">
        <f>F176*AO176</f>
        <v>0</v>
      </c>
      <c r="I176" s="41">
        <f>F176*AP176</f>
        <v>0</v>
      </c>
      <c r="J176" s="41">
        <f>F176*G176</f>
        <v>0</v>
      </c>
      <c r="K176" s="13" t="s">
        <v>313</v>
      </c>
      <c r="Z176" s="41">
        <f>IF(AQ176="5",BJ176,0)</f>
        <v>0</v>
      </c>
      <c r="AB176" s="41">
        <f>IF(AQ176="1",BH176,0)</f>
        <v>0</v>
      </c>
      <c r="AC176" s="41">
        <f>IF(AQ176="1",BI176,0)</f>
        <v>0</v>
      </c>
      <c r="AD176" s="41">
        <f>IF(AQ176="7",BH176,0)</f>
        <v>0</v>
      </c>
      <c r="AE176" s="41">
        <f>IF(AQ176="7",BI176,0)</f>
        <v>0</v>
      </c>
      <c r="AF176" s="41">
        <f>IF(AQ176="2",BH176,0)</f>
        <v>0</v>
      </c>
      <c r="AG176" s="41">
        <f>IF(AQ176="2",BI176,0)</f>
        <v>0</v>
      </c>
      <c r="AH176" s="41">
        <f>IF(AQ176="0",BJ176,0)</f>
        <v>0</v>
      </c>
      <c r="AI176" s="8" t="s">
        <v>469</v>
      </c>
      <c r="AJ176" s="41">
        <f>IF(AN176=0,J176,0)</f>
        <v>0</v>
      </c>
      <c r="AK176" s="41">
        <f>IF(AN176=12,J176,0)</f>
        <v>0</v>
      </c>
      <c r="AL176" s="41">
        <f>IF(AN176=21,J176,0)</f>
        <v>0</v>
      </c>
      <c r="AN176" s="41">
        <v>12</v>
      </c>
      <c r="AO176" s="41">
        <f>G176*0.0618547111896568</f>
        <v>0</v>
      </c>
      <c r="AP176" s="41">
        <f>G176*(1-0.0618547111896568)</f>
        <v>0</v>
      </c>
      <c r="AQ176" s="38" t="s">
        <v>665</v>
      </c>
      <c r="AV176" s="41">
        <f>AW176+AX176</f>
        <v>0</v>
      </c>
      <c r="AW176" s="41">
        <f>F176*AO176</f>
        <v>0</v>
      </c>
      <c r="AX176" s="41">
        <f>F176*AP176</f>
        <v>0</v>
      </c>
      <c r="AY176" s="38" t="s">
        <v>523</v>
      </c>
      <c r="AZ176" s="38" t="s">
        <v>548</v>
      </c>
      <c r="BA176" s="8" t="s">
        <v>518</v>
      </c>
      <c r="BC176" s="41">
        <f>AW176+AX176</f>
        <v>0</v>
      </c>
      <c r="BD176" s="41">
        <f>G176/(100-BE176)*100</f>
        <v>0</v>
      </c>
      <c r="BE176" s="41">
        <v>0</v>
      </c>
      <c r="BF176" s="41">
        <f>176</f>
        <v>176</v>
      </c>
      <c r="BH176" s="41">
        <f>F176*AO176</f>
        <v>0</v>
      </c>
      <c r="BI176" s="41">
        <f>F176*AP176</f>
        <v>0</v>
      </c>
      <c r="BJ176" s="41">
        <f>F176*G176</f>
        <v>0</v>
      </c>
      <c r="BK176" s="41"/>
      <c r="BL176" s="41">
        <v>713</v>
      </c>
      <c r="BW176" s="41">
        <v>12</v>
      </c>
    </row>
    <row r="177" spans="1:75" ht="15" customHeight="1">
      <c r="A177" s="17"/>
      <c r="C177" s="7" t="s">
        <v>474</v>
      </c>
      <c r="D177" s="7" t="s">
        <v>469</v>
      </c>
      <c r="F177" s="52">
        <v>200.00000000000003</v>
      </c>
      <c r="K177" s="34"/>
    </row>
    <row r="178" spans="1:75" ht="13.5" customHeight="1">
      <c r="A178" s="26" t="s">
        <v>655</v>
      </c>
      <c r="B178" s="46" t="s">
        <v>577</v>
      </c>
      <c r="C178" s="66" t="s">
        <v>630</v>
      </c>
      <c r="D178" s="63"/>
      <c r="E178" s="46" t="s">
        <v>654</v>
      </c>
      <c r="F178" s="41">
        <v>105</v>
      </c>
      <c r="G178" s="41">
        <v>0</v>
      </c>
      <c r="H178" s="41">
        <f>F178*AO178</f>
        <v>0</v>
      </c>
      <c r="I178" s="41">
        <f>F178*AP178</f>
        <v>0</v>
      </c>
      <c r="J178" s="41">
        <f>F178*G178</f>
        <v>0</v>
      </c>
      <c r="K178" s="13" t="s">
        <v>313</v>
      </c>
      <c r="Z178" s="41">
        <f>IF(AQ178="5",BJ178,0)</f>
        <v>0</v>
      </c>
      <c r="AB178" s="41">
        <f>IF(AQ178="1",BH178,0)</f>
        <v>0</v>
      </c>
      <c r="AC178" s="41">
        <f>IF(AQ178="1",BI178,0)</f>
        <v>0</v>
      </c>
      <c r="AD178" s="41">
        <f>IF(AQ178="7",BH178,0)</f>
        <v>0</v>
      </c>
      <c r="AE178" s="41">
        <f>IF(AQ178="7",BI178,0)</f>
        <v>0</v>
      </c>
      <c r="AF178" s="41">
        <f>IF(AQ178="2",BH178,0)</f>
        <v>0</v>
      </c>
      <c r="AG178" s="41">
        <f>IF(AQ178="2",BI178,0)</f>
        <v>0</v>
      </c>
      <c r="AH178" s="41">
        <f>IF(AQ178="0",BJ178,0)</f>
        <v>0</v>
      </c>
      <c r="AI178" s="8" t="s">
        <v>469</v>
      </c>
      <c r="AJ178" s="41">
        <f>IF(AN178=0,J178,0)</f>
        <v>0</v>
      </c>
      <c r="AK178" s="41">
        <f>IF(AN178=12,J178,0)</f>
        <v>0</v>
      </c>
      <c r="AL178" s="41">
        <f>IF(AN178=21,J178,0)</f>
        <v>0</v>
      </c>
      <c r="AN178" s="41">
        <v>12</v>
      </c>
      <c r="AO178" s="41">
        <f>G178*1</f>
        <v>0</v>
      </c>
      <c r="AP178" s="41">
        <f>G178*(1-1)</f>
        <v>0</v>
      </c>
      <c r="AQ178" s="38" t="s">
        <v>665</v>
      </c>
      <c r="AV178" s="41">
        <f>AW178+AX178</f>
        <v>0</v>
      </c>
      <c r="AW178" s="41">
        <f>F178*AO178</f>
        <v>0</v>
      </c>
      <c r="AX178" s="41">
        <f>F178*AP178</f>
        <v>0</v>
      </c>
      <c r="AY178" s="38" t="s">
        <v>523</v>
      </c>
      <c r="AZ178" s="38" t="s">
        <v>548</v>
      </c>
      <c r="BA178" s="8" t="s">
        <v>518</v>
      </c>
      <c r="BC178" s="41">
        <f>AW178+AX178</f>
        <v>0</v>
      </c>
      <c r="BD178" s="41">
        <f>G178/(100-BE178)*100</f>
        <v>0</v>
      </c>
      <c r="BE178" s="41">
        <v>0</v>
      </c>
      <c r="BF178" s="41">
        <f>178</f>
        <v>178</v>
      </c>
      <c r="BH178" s="41">
        <f>F178*AO178</f>
        <v>0</v>
      </c>
      <c r="BI178" s="41">
        <f>F178*AP178</f>
        <v>0</v>
      </c>
      <c r="BJ178" s="41">
        <f>F178*G178</f>
        <v>0</v>
      </c>
      <c r="BK178" s="41"/>
      <c r="BL178" s="41">
        <v>713</v>
      </c>
      <c r="BW178" s="41">
        <v>12</v>
      </c>
    </row>
    <row r="179" spans="1:75" ht="15" customHeight="1">
      <c r="A179" s="17"/>
      <c r="C179" s="7" t="s">
        <v>288</v>
      </c>
      <c r="D179" s="7" t="s">
        <v>469</v>
      </c>
      <c r="F179" s="52">
        <v>105.00000000000001</v>
      </c>
      <c r="K179" s="34"/>
    </row>
    <row r="180" spans="1:75" ht="13.5" customHeight="1">
      <c r="A180" s="26" t="s">
        <v>134</v>
      </c>
      <c r="B180" s="46" t="s">
        <v>172</v>
      </c>
      <c r="C180" s="66" t="s">
        <v>170</v>
      </c>
      <c r="D180" s="63"/>
      <c r="E180" s="46" t="s">
        <v>654</v>
      </c>
      <c r="F180" s="41">
        <v>105</v>
      </c>
      <c r="G180" s="41">
        <v>0</v>
      </c>
      <c r="H180" s="41">
        <f>F180*AO180</f>
        <v>0</v>
      </c>
      <c r="I180" s="41">
        <f>F180*AP180</f>
        <v>0</v>
      </c>
      <c r="J180" s="41">
        <f>F180*G180</f>
        <v>0</v>
      </c>
      <c r="K180" s="13" t="s">
        <v>313</v>
      </c>
      <c r="Z180" s="41">
        <f>IF(AQ180="5",BJ180,0)</f>
        <v>0</v>
      </c>
      <c r="AB180" s="41">
        <f>IF(AQ180="1",BH180,0)</f>
        <v>0</v>
      </c>
      <c r="AC180" s="41">
        <f>IF(AQ180="1",BI180,0)</f>
        <v>0</v>
      </c>
      <c r="AD180" s="41">
        <f>IF(AQ180="7",BH180,0)</f>
        <v>0</v>
      </c>
      <c r="AE180" s="41">
        <f>IF(AQ180="7",BI180,0)</f>
        <v>0</v>
      </c>
      <c r="AF180" s="41">
        <f>IF(AQ180="2",BH180,0)</f>
        <v>0</v>
      </c>
      <c r="AG180" s="41">
        <f>IF(AQ180="2",BI180,0)</f>
        <v>0</v>
      </c>
      <c r="AH180" s="41">
        <f>IF(AQ180="0",BJ180,0)</f>
        <v>0</v>
      </c>
      <c r="AI180" s="8" t="s">
        <v>469</v>
      </c>
      <c r="AJ180" s="41">
        <f>IF(AN180=0,J180,0)</f>
        <v>0</v>
      </c>
      <c r="AK180" s="41">
        <f>IF(AN180=12,J180,0)</f>
        <v>0</v>
      </c>
      <c r="AL180" s="41">
        <f>IF(AN180=21,J180,0)</f>
        <v>0</v>
      </c>
      <c r="AN180" s="41">
        <v>12</v>
      </c>
      <c r="AO180" s="41">
        <f>G180*1</f>
        <v>0</v>
      </c>
      <c r="AP180" s="41">
        <f>G180*(1-1)</f>
        <v>0</v>
      </c>
      <c r="AQ180" s="38" t="s">
        <v>665</v>
      </c>
      <c r="AV180" s="41">
        <f>AW180+AX180</f>
        <v>0</v>
      </c>
      <c r="AW180" s="41">
        <f>F180*AO180</f>
        <v>0</v>
      </c>
      <c r="AX180" s="41">
        <f>F180*AP180</f>
        <v>0</v>
      </c>
      <c r="AY180" s="38" t="s">
        <v>523</v>
      </c>
      <c r="AZ180" s="38" t="s">
        <v>548</v>
      </c>
      <c r="BA180" s="8" t="s">
        <v>518</v>
      </c>
      <c r="BC180" s="41">
        <f>AW180+AX180</f>
        <v>0</v>
      </c>
      <c r="BD180" s="41">
        <f>G180/(100-BE180)*100</f>
        <v>0</v>
      </c>
      <c r="BE180" s="41">
        <v>0</v>
      </c>
      <c r="BF180" s="41">
        <f>180</f>
        <v>180</v>
      </c>
      <c r="BH180" s="41">
        <f>F180*AO180</f>
        <v>0</v>
      </c>
      <c r="BI180" s="41">
        <f>F180*AP180</f>
        <v>0</v>
      </c>
      <c r="BJ180" s="41">
        <f>F180*G180</f>
        <v>0</v>
      </c>
      <c r="BK180" s="41"/>
      <c r="BL180" s="41">
        <v>713</v>
      </c>
      <c r="BW180" s="41">
        <v>12</v>
      </c>
    </row>
    <row r="181" spans="1:75" ht="15" customHeight="1">
      <c r="A181" s="17"/>
      <c r="C181" s="7" t="s">
        <v>288</v>
      </c>
      <c r="D181" s="7" t="s">
        <v>469</v>
      </c>
      <c r="F181" s="52">
        <v>105.00000000000001</v>
      </c>
      <c r="K181" s="34"/>
    </row>
    <row r="182" spans="1:75" ht="27" customHeight="1">
      <c r="A182" s="26" t="s">
        <v>232</v>
      </c>
      <c r="B182" s="46" t="s">
        <v>20</v>
      </c>
      <c r="C182" s="66" t="s">
        <v>202</v>
      </c>
      <c r="D182" s="63"/>
      <c r="E182" s="46" t="s">
        <v>654</v>
      </c>
      <c r="F182" s="41">
        <v>120</v>
      </c>
      <c r="G182" s="41">
        <v>0</v>
      </c>
      <c r="H182" s="41">
        <f>F182*AO182</f>
        <v>0</v>
      </c>
      <c r="I182" s="41">
        <f>F182*AP182</f>
        <v>0</v>
      </c>
      <c r="J182" s="41">
        <f>F182*G182</f>
        <v>0</v>
      </c>
      <c r="K182" s="13" t="s">
        <v>313</v>
      </c>
      <c r="Z182" s="41">
        <f>IF(AQ182="5",BJ182,0)</f>
        <v>0</v>
      </c>
      <c r="AB182" s="41">
        <f>IF(AQ182="1",BH182,0)</f>
        <v>0</v>
      </c>
      <c r="AC182" s="41">
        <f>IF(AQ182="1",BI182,0)</f>
        <v>0</v>
      </c>
      <c r="AD182" s="41">
        <f>IF(AQ182="7",BH182,0)</f>
        <v>0</v>
      </c>
      <c r="AE182" s="41">
        <f>IF(AQ182="7",BI182,0)</f>
        <v>0</v>
      </c>
      <c r="AF182" s="41">
        <f>IF(AQ182="2",BH182,0)</f>
        <v>0</v>
      </c>
      <c r="AG182" s="41">
        <f>IF(AQ182="2",BI182,0)</f>
        <v>0</v>
      </c>
      <c r="AH182" s="41">
        <f>IF(AQ182="0",BJ182,0)</f>
        <v>0</v>
      </c>
      <c r="AI182" s="8" t="s">
        <v>469</v>
      </c>
      <c r="AJ182" s="41">
        <f>IF(AN182=0,J182,0)</f>
        <v>0</v>
      </c>
      <c r="AK182" s="41">
        <f>IF(AN182=12,J182,0)</f>
        <v>0</v>
      </c>
      <c r="AL182" s="41">
        <f>IF(AN182=21,J182,0)</f>
        <v>0</v>
      </c>
      <c r="AN182" s="41">
        <v>12</v>
      </c>
      <c r="AO182" s="41">
        <f>G182*0.358434163701068</f>
        <v>0</v>
      </c>
      <c r="AP182" s="41">
        <f>G182*(1-0.358434163701068)</f>
        <v>0</v>
      </c>
      <c r="AQ182" s="38" t="s">
        <v>665</v>
      </c>
      <c r="AV182" s="41">
        <f>AW182+AX182</f>
        <v>0</v>
      </c>
      <c r="AW182" s="41">
        <f>F182*AO182</f>
        <v>0</v>
      </c>
      <c r="AX182" s="41">
        <f>F182*AP182</f>
        <v>0</v>
      </c>
      <c r="AY182" s="38" t="s">
        <v>523</v>
      </c>
      <c r="AZ182" s="38" t="s">
        <v>548</v>
      </c>
      <c r="BA182" s="8" t="s">
        <v>518</v>
      </c>
      <c r="BC182" s="41">
        <f>AW182+AX182</f>
        <v>0</v>
      </c>
      <c r="BD182" s="41">
        <f>G182/(100-BE182)*100</f>
        <v>0</v>
      </c>
      <c r="BE182" s="41">
        <v>0</v>
      </c>
      <c r="BF182" s="41">
        <f>182</f>
        <v>182</v>
      </c>
      <c r="BH182" s="41">
        <f>F182*AO182</f>
        <v>0</v>
      </c>
      <c r="BI182" s="41">
        <f>F182*AP182</f>
        <v>0</v>
      </c>
      <c r="BJ182" s="41">
        <f>F182*G182</f>
        <v>0</v>
      </c>
      <c r="BK182" s="41"/>
      <c r="BL182" s="41">
        <v>713</v>
      </c>
      <c r="BW182" s="41">
        <v>12</v>
      </c>
    </row>
    <row r="183" spans="1:75" ht="15" customHeight="1">
      <c r="A183" s="17"/>
      <c r="C183" s="7" t="s">
        <v>349</v>
      </c>
      <c r="D183" s="7" t="s">
        <v>469</v>
      </c>
      <c r="F183" s="52">
        <v>120.00000000000001</v>
      </c>
      <c r="K183" s="34"/>
    </row>
    <row r="184" spans="1:75" ht="15" customHeight="1">
      <c r="A184" s="11" t="s">
        <v>469</v>
      </c>
      <c r="B184" s="16" t="s">
        <v>420</v>
      </c>
      <c r="C184" s="79" t="s">
        <v>709</v>
      </c>
      <c r="D184" s="80"/>
      <c r="E184" s="58" t="s">
        <v>619</v>
      </c>
      <c r="F184" s="58" t="s">
        <v>619</v>
      </c>
      <c r="G184" s="58" t="s">
        <v>619</v>
      </c>
      <c r="H184" s="49">
        <f>SUM(H185:H191)</f>
        <v>0</v>
      </c>
      <c r="I184" s="49">
        <f>SUM(I185:I191)</f>
        <v>0</v>
      </c>
      <c r="J184" s="49">
        <f>SUM(J185:J191)</f>
        <v>0</v>
      </c>
      <c r="K184" s="32" t="s">
        <v>469</v>
      </c>
      <c r="AI184" s="8" t="s">
        <v>469</v>
      </c>
      <c r="AS184" s="49">
        <f>SUM(AJ185:AJ191)</f>
        <v>0</v>
      </c>
      <c r="AT184" s="49">
        <f>SUM(AK185:AK191)</f>
        <v>0</v>
      </c>
      <c r="AU184" s="49">
        <f>SUM(AL185:AL191)</f>
        <v>0</v>
      </c>
    </row>
    <row r="185" spans="1:75" ht="13.5" customHeight="1">
      <c r="A185" s="26" t="s">
        <v>295</v>
      </c>
      <c r="B185" s="46" t="s">
        <v>596</v>
      </c>
      <c r="C185" s="66" t="s">
        <v>5</v>
      </c>
      <c r="D185" s="63"/>
      <c r="E185" s="46" t="s">
        <v>654</v>
      </c>
      <c r="F185" s="41">
        <v>89.744</v>
      </c>
      <c r="G185" s="41">
        <v>0</v>
      </c>
      <c r="H185" s="41">
        <f>F185*AO185</f>
        <v>0</v>
      </c>
      <c r="I185" s="41">
        <f>F185*AP185</f>
        <v>0</v>
      </c>
      <c r="J185" s="41">
        <f>F185*G185</f>
        <v>0</v>
      </c>
      <c r="K185" s="13" t="s">
        <v>313</v>
      </c>
      <c r="Z185" s="41">
        <f>IF(AQ185="5",BJ185,0)</f>
        <v>0</v>
      </c>
      <c r="AB185" s="41">
        <f>IF(AQ185="1",BH185,0)</f>
        <v>0</v>
      </c>
      <c r="AC185" s="41">
        <f>IF(AQ185="1",BI185,0)</f>
        <v>0</v>
      </c>
      <c r="AD185" s="41">
        <f>IF(AQ185="7",BH185,0)</f>
        <v>0</v>
      </c>
      <c r="AE185" s="41">
        <f>IF(AQ185="7",BI185,0)</f>
        <v>0</v>
      </c>
      <c r="AF185" s="41">
        <f>IF(AQ185="2",BH185,0)</f>
        <v>0</v>
      </c>
      <c r="AG185" s="41">
        <f>IF(AQ185="2",BI185,0)</f>
        <v>0</v>
      </c>
      <c r="AH185" s="41">
        <f>IF(AQ185="0",BJ185,0)</f>
        <v>0</v>
      </c>
      <c r="AI185" s="8" t="s">
        <v>469</v>
      </c>
      <c r="AJ185" s="41">
        <f>IF(AN185=0,J185,0)</f>
        <v>0</v>
      </c>
      <c r="AK185" s="41">
        <f>IF(AN185=12,J185,0)</f>
        <v>0</v>
      </c>
      <c r="AL185" s="41">
        <f>IF(AN185=21,J185,0)</f>
        <v>0</v>
      </c>
      <c r="AN185" s="41">
        <v>12</v>
      </c>
      <c r="AO185" s="41">
        <f>G185*0</f>
        <v>0</v>
      </c>
      <c r="AP185" s="41">
        <f>G185*(1-0)</f>
        <v>0</v>
      </c>
      <c r="AQ185" s="38" t="s">
        <v>665</v>
      </c>
      <c r="AV185" s="41">
        <f>AW185+AX185</f>
        <v>0</v>
      </c>
      <c r="AW185" s="41">
        <f>F185*AO185</f>
        <v>0</v>
      </c>
      <c r="AX185" s="41">
        <f>F185*AP185</f>
        <v>0</v>
      </c>
      <c r="AY185" s="38" t="s">
        <v>425</v>
      </c>
      <c r="AZ185" s="38" t="s">
        <v>373</v>
      </c>
      <c r="BA185" s="8" t="s">
        <v>518</v>
      </c>
      <c r="BC185" s="41">
        <f>AW185+AX185</f>
        <v>0</v>
      </c>
      <c r="BD185" s="41">
        <f>G185/(100-BE185)*100</f>
        <v>0</v>
      </c>
      <c r="BE185" s="41">
        <v>0</v>
      </c>
      <c r="BF185" s="41">
        <f>185</f>
        <v>185</v>
      </c>
      <c r="BH185" s="41">
        <f>F185*AO185</f>
        <v>0</v>
      </c>
      <c r="BI185" s="41">
        <f>F185*AP185</f>
        <v>0</v>
      </c>
      <c r="BJ185" s="41">
        <f>F185*G185</f>
        <v>0</v>
      </c>
      <c r="BK185" s="41"/>
      <c r="BL185" s="41">
        <v>762</v>
      </c>
      <c r="BW185" s="41">
        <v>12</v>
      </c>
    </row>
    <row r="186" spans="1:75" ht="15" customHeight="1">
      <c r="A186" s="17"/>
      <c r="C186" s="7" t="s">
        <v>118</v>
      </c>
      <c r="D186" s="7" t="s">
        <v>469</v>
      </c>
      <c r="F186" s="52">
        <v>89.744000000000014</v>
      </c>
      <c r="K186" s="34"/>
    </row>
    <row r="187" spans="1:75" ht="13.5" customHeight="1">
      <c r="A187" s="26" t="s">
        <v>245</v>
      </c>
      <c r="B187" s="46" t="s">
        <v>271</v>
      </c>
      <c r="C187" s="66" t="s">
        <v>375</v>
      </c>
      <c r="D187" s="63"/>
      <c r="E187" s="46" t="s">
        <v>654</v>
      </c>
      <c r="F187" s="41">
        <v>5</v>
      </c>
      <c r="G187" s="41">
        <v>0</v>
      </c>
      <c r="H187" s="41">
        <f>F187*AO187</f>
        <v>0</v>
      </c>
      <c r="I187" s="41">
        <f>F187*AP187</f>
        <v>0</v>
      </c>
      <c r="J187" s="41">
        <f>F187*G187</f>
        <v>0</v>
      </c>
      <c r="K187" s="13" t="s">
        <v>313</v>
      </c>
      <c r="Z187" s="41">
        <f>IF(AQ187="5",BJ187,0)</f>
        <v>0</v>
      </c>
      <c r="AB187" s="41">
        <f>IF(AQ187="1",BH187,0)</f>
        <v>0</v>
      </c>
      <c r="AC187" s="41">
        <f>IF(AQ187="1",BI187,0)</f>
        <v>0</v>
      </c>
      <c r="AD187" s="41">
        <f>IF(AQ187="7",BH187,0)</f>
        <v>0</v>
      </c>
      <c r="AE187" s="41">
        <f>IF(AQ187="7",BI187,0)</f>
        <v>0</v>
      </c>
      <c r="AF187" s="41">
        <f>IF(AQ187="2",BH187,0)</f>
        <v>0</v>
      </c>
      <c r="AG187" s="41">
        <f>IF(AQ187="2",BI187,0)</f>
        <v>0</v>
      </c>
      <c r="AH187" s="41">
        <f>IF(AQ187="0",BJ187,0)</f>
        <v>0</v>
      </c>
      <c r="AI187" s="8" t="s">
        <v>469</v>
      </c>
      <c r="AJ187" s="41">
        <f>IF(AN187=0,J187,0)</f>
        <v>0</v>
      </c>
      <c r="AK187" s="41">
        <f>IF(AN187=12,J187,0)</f>
        <v>0</v>
      </c>
      <c r="AL187" s="41">
        <f>IF(AN187=21,J187,0)</f>
        <v>0</v>
      </c>
      <c r="AN187" s="41">
        <v>12</v>
      </c>
      <c r="AO187" s="41">
        <f>G187*0.587352540984689</f>
        <v>0</v>
      </c>
      <c r="AP187" s="41">
        <f>G187*(1-0.587352540984689)</f>
        <v>0</v>
      </c>
      <c r="AQ187" s="38" t="s">
        <v>665</v>
      </c>
      <c r="AV187" s="41">
        <f>AW187+AX187</f>
        <v>0</v>
      </c>
      <c r="AW187" s="41">
        <f>F187*AO187</f>
        <v>0</v>
      </c>
      <c r="AX187" s="41">
        <f>F187*AP187</f>
        <v>0</v>
      </c>
      <c r="AY187" s="38" t="s">
        <v>425</v>
      </c>
      <c r="AZ187" s="38" t="s">
        <v>373</v>
      </c>
      <c r="BA187" s="8" t="s">
        <v>518</v>
      </c>
      <c r="BC187" s="41">
        <f>AW187+AX187</f>
        <v>0</v>
      </c>
      <c r="BD187" s="41">
        <f>G187/(100-BE187)*100</f>
        <v>0</v>
      </c>
      <c r="BE187" s="41">
        <v>0</v>
      </c>
      <c r="BF187" s="41">
        <f>187</f>
        <v>187</v>
      </c>
      <c r="BH187" s="41">
        <f>F187*AO187</f>
        <v>0</v>
      </c>
      <c r="BI187" s="41">
        <f>F187*AP187</f>
        <v>0</v>
      </c>
      <c r="BJ187" s="41">
        <f>F187*G187</f>
        <v>0</v>
      </c>
      <c r="BK187" s="41"/>
      <c r="BL187" s="41">
        <v>762</v>
      </c>
      <c r="BW187" s="41">
        <v>12</v>
      </c>
    </row>
    <row r="188" spans="1:75" ht="15" customHeight="1">
      <c r="A188" s="17"/>
      <c r="C188" s="7" t="s">
        <v>603</v>
      </c>
      <c r="D188" s="7" t="s">
        <v>469</v>
      </c>
      <c r="F188" s="52">
        <v>5</v>
      </c>
      <c r="K188" s="34"/>
    </row>
    <row r="189" spans="1:75" ht="27" customHeight="1">
      <c r="A189" s="26" t="s">
        <v>536</v>
      </c>
      <c r="B189" s="46" t="s">
        <v>103</v>
      </c>
      <c r="C189" s="66" t="s">
        <v>13</v>
      </c>
      <c r="D189" s="63"/>
      <c r="E189" s="46" t="s">
        <v>556</v>
      </c>
      <c r="F189" s="41">
        <v>168</v>
      </c>
      <c r="G189" s="41">
        <v>0</v>
      </c>
      <c r="H189" s="41">
        <f>F189*AO189</f>
        <v>0</v>
      </c>
      <c r="I189" s="41">
        <f>F189*AP189</f>
        <v>0</v>
      </c>
      <c r="J189" s="41">
        <f>F189*G189</f>
        <v>0</v>
      </c>
      <c r="K189" s="13" t="s">
        <v>313</v>
      </c>
      <c r="Z189" s="41">
        <f>IF(AQ189="5",BJ189,0)</f>
        <v>0</v>
      </c>
      <c r="AB189" s="41">
        <f>IF(AQ189="1",BH189,0)</f>
        <v>0</v>
      </c>
      <c r="AC189" s="41">
        <f>IF(AQ189="1",BI189,0)</f>
        <v>0</v>
      </c>
      <c r="AD189" s="41">
        <f>IF(AQ189="7",BH189,0)</f>
        <v>0</v>
      </c>
      <c r="AE189" s="41">
        <f>IF(AQ189="7",BI189,0)</f>
        <v>0</v>
      </c>
      <c r="AF189" s="41">
        <f>IF(AQ189="2",BH189,0)</f>
        <v>0</v>
      </c>
      <c r="AG189" s="41">
        <f>IF(AQ189="2",BI189,0)</f>
        <v>0</v>
      </c>
      <c r="AH189" s="41">
        <f>IF(AQ189="0",BJ189,0)</f>
        <v>0</v>
      </c>
      <c r="AI189" s="8" t="s">
        <v>469</v>
      </c>
      <c r="AJ189" s="41">
        <f>IF(AN189=0,J189,0)</f>
        <v>0</v>
      </c>
      <c r="AK189" s="41">
        <f>IF(AN189=12,J189,0)</f>
        <v>0</v>
      </c>
      <c r="AL189" s="41">
        <f>IF(AN189=21,J189,0)</f>
        <v>0</v>
      </c>
      <c r="AN189" s="41">
        <v>12</v>
      </c>
      <c r="AO189" s="41">
        <f>G189*0.318063540090772</f>
        <v>0</v>
      </c>
      <c r="AP189" s="41">
        <f>G189*(1-0.318063540090772)</f>
        <v>0</v>
      </c>
      <c r="AQ189" s="38" t="s">
        <v>665</v>
      </c>
      <c r="AV189" s="41">
        <f>AW189+AX189</f>
        <v>0</v>
      </c>
      <c r="AW189" s="41">
        <f>F189*AO189</f>
        <v>0</v>
      </c>
      <c r="AX189" s="41">
        <f>F189*AP189</f>
        <v>0</v>
      </c>
      <c r="AY189" s="38" t="s">
        <v>425</v>
      </c>
      <c r="AZ189" s="38" t="s">
        <v>373</v>
      </c>
      <c r="BA189" s="8" t="s">
        <v>518</v>
      </c>
      <c r="BC189" s="41">
        <f>AW189+AX189</f>
        <v>0</v>
      </c>
      <c r="BD189" s="41">
        <f>G189/(100-BE189)*100</f>
        <v>0</v>
      </c>
      <c r="BE189" s="41">
        <v>0</v>
      </c>
      <c r="BF189" s="41">
        <f>189</f>
        <v>189</v>
      </c>
      <c r="BH189" s="41">
        <f>F189*AO189</f>
        <v>0</v>
      </c>
      <c r="BI189" s="41">
        <f>F189*AP189</f>
        <v>0</v>
      </c>
      <c r="BJ189" s="41">
        <f>F189*G189</f>
        <v>0</v>
      </c>
      <c r="BK189" s="41"/>
      <c r="BL189" s="41">
        <v>762</v>
      </c>
      <c r="BW189" s="41">
        <v>12</v>
      </c>
    </row>
    <row r="190" spans="1:75" ht="15" customHeight="1">
      <c r="A190" s="17"/>
      <c r="C190" s="7" t="s">
        <v>681</v>
      </c>
      <c r="D190" s="7" t="s">
        <v>469</v>
      </c>
      <c r="F190" s="52">
        <v>168</v>
      </c>
      <c r="K190" s="34"/>
    </row>
    <row r="191" spans="1:75" ht="13.5" customHeight="1">
      <c r="A191" s="26" t="s">
        <v>691</v>
      </c>
      <c r="B191" s="46" t="s">
        <v>148</v>
      </c>
      <c r="C191" s="66" t="s">
        <v>25</v>
      </c>
      <c r="D191" s="63"/>
      <c r="E191" s="46" t="s">
        <v>654</v>
      </c>
      <c r="F191" s="41">
        <v>98.92</v>
      </c>
      <c r="G191" s="41">
        <v>0</v>
      </c>
      <c r="H191" s="41">
        <f>F191*AO191</f>
        <v>0</v>
      </c>
      <c r="I191" s="41">
        <f>F191*AP191</f>
        <v>0</v>
      </c>
      <c r="J191" s="41">
        <f>F191*G191</f>
        <v>0</v>
      </c>
      <c r="K191" s="13" t="s">
        <v>313</v>
      </c>
      <c r="Z191" s="41">
        <f>IF(AQ191="5",BJ191,0)</f>
        <v>0</v>
      </c>
      <c r="AB191" s="41">
        <f>IF(AQ191="1",BH191,0)</f>
        <v>0</v>
      </c>
      <c r="AC191" s="41">
        <f>IF(AQ191="1",BI191,0)</f>
        <v>0</v>
      </c>
      <c r="AD191" s="41">
        <f>IF(AQ191="7",BH191,0)</f>
        <v>0</v>
      </c>
      <c r="AE191" s="41">
        <f>IF(AQ191="7",BI191,0)</f>
        <v>0</v>
      </c>
      <c r="AF191" s="41">
        <f>IF(AQ191="2",BH191,0)</f>
        <v>0</v>
      </c>
      <c r="AG191" s="41">
        <f>IF(AQ191="2",BI191,0)</f>
        <v>0</v>
      </c>
      <c r="AH191" s="41">
        <f>IF(AQ191="0",BJ191,0)</f>
        <v>0</v>
      </c>
      <c r="AI191" s="8" t="s">
        <v>469</v>
      </c>
      <c r="AJ191" s="41">
        <f>IF(AN191=0,J191,0)</f>
        <v>0</v>
      </c>
      <c r="AK191" s="41">
        <f>IF(AN191=12,J191,0)</f>
        <v>0</v>
      </c>
      <c r="AL191" s="41">
        <f>IF(AN191=21,J191,0)</f>
        <v>0</v>
      </c>
      <c r="AN191" s="41">
        <v>12</v>
      </c>
      <c r="AO191" s="41">
        <f>G191*0</f>
        <v>0</v>
      </c>
      <c r="AP191" s="41">
        <f>G191*(1-0)</f>
        <v>0</v>
      </c>
      <c r="AQ191" s="38" t="s">
        <v>665</v>
      </c>
      <c r="AV191" s="41">
        <f>AW191+AX191</f>
        <v>0</v>
      </c>
      <c r="AW191" s="41">
        <f>F191*AO191</f>
        <v>0</v>
      </c>
      <c r="AX191" s="41">
        <f>F191*AP191</f>
        <v>0</v>
      </c>
      <c r="AY191" s="38" t="s">
        <v>425</v>
      </c>
      <c r="AZ191" s="38" t="s">
        <v>373</v>
      </c>
      <c r="BA191" s="8" t="s">
        <v>518</v>
      </c>
      <c r="BC191" s="41">
        <f>AW191+AX191</f>
        <v>0</v>
      </c>
      <c r="BD191" s="41">
        <f>G191/(100-BE191)*100</f>
        <v>0</v>
      </c>
      <c r="BE191" s="41">
        <v>0</v>
      </c>
      <c r="BF191" s="41">
        <f>191</f>
        <v>191</v>
      </c>
      <c r="BH191" s="41">
        <f>F191*AO191</f>
        <v>0</v>
      </c>
      <c r="BI191" s="41">
        <f>F191*AP191</f>
        <v>0</v>
      </c>
      <c r="BJ191" s="41">
        <f>F191*G191</f>
        <v>0</v>
      </c>
      <c r="BK191" s="41"/>
      <c r="BL191" s="41">
        <v>762</v>
      </c>
      <c r="BW191" s="41">
        <v>12</v>
      </c>
    </row>
    <row r="192" spans="1:75" ht="15" customHeight="1">
      <c r="A192" s="17"/>
      <c r="C192" s="7" t="s">
        <v>355</v>
      </c>
      <c r="D192" s="7" t="s">
        <v>469</v>
      </c>
      <c r="F192" s="52">
        <v>98.92</v>
      </c>
      <c r="K192" s="34"/>
    </row>
    <row r="193" spans="1:75" ht="15" customHeight="1">
      <c r="A193" s="11" t="s">
        <v>469</v>
      </c>
      <c r="B193" s="16" t="s">
        <v>63</v>
      </c>
      <c r="C193" s="79" t="s">
        <v>109</v>
      </c>
      <c r="D193" s="80"/>
      <c r="E193" s="58" t="s">
        <v>619</v>
      </c>
      <c r="F193" s="58" t="s">
        <v>619</v>
      </c>
      <c r="G193" s="58" t="s">
        <v>619</v>
      </c>
      <c r="H193" s="49">
        <f>SUM(H194:H246)</f>
        <v>0</v>
      </c>
      <c r="I193" s="49">
        <f>SUM(I194:I246)</f>
        <v>0</v>
      </c>
      <c r="J193" s="49">
        <f>SUM(J194:J246)</f>
        <v>0</v>
      </c>
      <c r="K193" s="32" t="s">
        <v>469</v>
      </c>
      <c r="AI193" s="8" t="s">
        <v>469</v>
      </c>
      <c r="AS193" s="49">
        <f>SUM(AJ194:AJ246)</f>
        <v>0</v>
      </c>
      <c r="AT193" s="49">
        <f>SUM(AK194:AK246)</f>
        <v>0</v>
      </c>
      <c r="AU193" s="49">
        <f>SUM(AL194:AL246)</f>
        <v>0</v>
      </c>
    </row>
    <row r="194" spans="1:75" ht="13.5" customHeight="1">
      <c r="A194" s="26" t="s">
        <v>59</v>
      </c>
      <c r="B194" s="46" t="s">
        <v>352</v>
      </c>
      <c r="C194" s="66" t="s">
        <v>348</v>
      </c>
      <c r="D194" s="63"/>
      <c r="E194" s="46" t="s">
        <v>556</v>
      </c>
      <c r="F194" s="41">
        <v>31.78</v>
      </c>
      <c r="G194" s="41">
        <v>0</v>
      </c>
      <c r="H194" s="41">
        <f>F194*AO194</f>
        <v>0</v>
      </c>
      <c r="I194" s="41">
        <f>F194*AP194</f>
        <v>0</v>
      </c>
      <c r="J194" s="41">
        <f>F194*G194</f>
        <v>0</v>
      </c>
      <c r="K194" s="13" t="s">
        <v>313</v>
      </c>
      <c r="Z194" s="41">
        <f>IF(AQ194="5",BJ194,0)</f>
        <v>0</v>
      </c>
      <c r="AB194" s="41">
        <f>IF(AQ194="1",BH194,0)</f>
        <v>0</v>
      </c>
      <c r="AC194" s="41">
        <f>IF(AQ194="1",BI194,0)</f>
        <v>0</v>
      </c>
      <c r="AD194" s="41">
        <f>IF(AQ194="7",BH194,0)</f>
        <v>0</v>
      </c>
      <c r="AE194" s="41">
        <f>IF(AQ194="7",BI194,0)</f>
        <v>0</v>
      </c>
      <c r="AF194" s="41">
        <f>IF(AQ194="2",BH194,0)</f>
        <v>0</v>
      </c>
      <c r="AG194" s="41">
        <f>IF(AQ194="2",BI194,0)</f>
        <v>0</v>
      </c>
      <c r="AH194" s="41">
        <f>IF(AQ194="0",BJ194,0)</f>
        <v>0</v>
      </c>
      <c r="AI194" s="8" t="s">
        <v>469</v>
      </c>
      <c r="AJ194" s="41">
        <f>IF(AN194=0,J194,0)</f>
        <v>0</v>
      </c>
      <c r="AK194" s="41">
        <f>IF(AN194=12,J194,0)</f>
        <v>0</v>
      </c>
      <c r="AL194" s="41">
        <f>IF(AN194=21,J194,0)</f>
        <v>0</v>
      </c>
      <c r="AN194" s="41">
        <v>12</v>
      </c>
      <c r="AO194" s="41">
        <f>G194*0</f>
        <v>0</v>
      </c>
      <c r="AP194" s="41">
        <f>G194*(1-0)</f>
        <v>0</v>
      </c>
      <c r="AQ194" s="38" t="s">
        <v>665</v>
      </c>
      <c r="AV194" s="41">
        <f>AW194+AX194</f>
        <v>0</v>
      </c>
      <c r="AW194" s="41">
        <f>F194*AO194</f>
        <v>0</v>
      </c>
      <c r="AX194" s="41">
        <f>F194*AP194</f>
        <v>0</v>
      </c>
      <c r="AY194" s="38" t="s">
        <v>537</v>
      </c>
      <c r="AZ194" s="38" t="s">
        <v>373</v>
      </c>
      <c r="BA194" s="8" t="s">
        <v>518</v>
      </c>
      <c r="BC194" s="41">
        <f>AW194+AX194</f>
        <v>0</v>
      </c>
      <c r="BD194" s="41">
        <f>G194/(100-BE194)*100</f>
        <v>0</v>
      </c>
      <c r="BE194" s="41">
        <v>0</v>
      </c>
      <c r="BF194" s="41">
        <f>194</f>
        <v>194</v>
      </c>
      <c r="BH194" s="41">
        <f>F194*AO194</f>
        <v>0</v>
      </c>
      <c r="BI194" s="41">
        <f>F194*AP194</f>
        <v>0</v>
      </c>
      <c r="BJ194" s="41">
        <f>F194*G194</f>
        <v>0</v>
      </c>
      <c r="BK194" s="41"/>
      <c r="BL194" s="41">
        <v>764</v>
      </c>
      <c r="BW194" s="41">
        <v>12</v>
      </c>
    </row>
    <row r="195" spans="1:75" ht="15" customHeight="1">
      <c r="A195" s="17"/>
      <c r="C195" s="7" t="s">
        <v>711</v>
      </c>
      <c r="D195" s="7" t="s">
        <v>469</v>
      </c>
      <c r="F195" s="52">
        <v>1.8</v>
      </c>
      <c r="K195" s="34"/>
    </row>
    <row r="196" spans="1:75" ht="15" customHeight="1">
      <c r="A196" s="17"/>
      <c r="C196" s="7" t="s">
        <v>156</v>
      </c>
      <c r="D196" s="7" t="s">
        <v>469</v>
      </c>
      <c r="F196" s="52">
        <v>0.58000000000000007</v>
      </c>
      <c r="K196" s="34"/>
    </row>
    <row r="197" spans="1:75" ht="15" customHeight="1">
      <c r="A197" s="17"/>
      <c r="C197" s="7" t="s">
        <v>539</v>
      </c>
      <c r="D197" s="7" t="s">
        <v>469</v>
      </c>
      <c r="F197" s="52">
        <v>2.0450000000000004</v>
      </c>
      <c r="K197" s="34"/>
    </row>
    <row r="198" spans="1:75" ht="15" customHeight="1">
      <c r="A198" s="17"/>
      <c r="C198" s="7" t="s">
        <v>386</v>
      </c>
      <c r="D198" s="7" t="s">
        <v>469</v>
      </c>
      <c r="F198" s="52">
        <v>2.4350000000000001</v>
      </c>
      <c r="K198" s="34"/>
    </row>
    <row r="199" spans="1:75" ht="15" customHeight="1">
      <c r="A199" s="17"/>
      <c r="C199" s="7" t="s">
        <v>334</v>
      </c>
      <c r="D199" s="7" t="s">
        <v>469</v>
      </c>
      <c r="F199" s="52">
        <v>1.4200000000000002</v>
      </c>
      <c r="K199" s="34"/>
    </row>
    <row r="200" spans="1:75" ht="15" customHeight="1">
      <c r="A200" s="17"/>
      <c r="C200" s="7" t="s">
        <v>85</v>
      </c>
      <c r="D200" s="7" t="s">
        <v>469</v>
      </c>
      <c r="F200" s="52">
        <v>2.4000000000000004</v>
      </c>
      <c r="K200" s="34"/>
    </row>
    <row r="201" spans="1:75" ht="15" customHeight="1">
      <c r="A201" s="17"/>
      <c r="C201" s="7" t="s">
        <v>605</v>
      </c>
      <c r="D201" s="7" t="s">
        <v>469</v>
      </c>
      <c r="F201" s="52">
        <v>2.06</v>
      </c>
      <c r="K201" s="34"/>
    </row>
    <row r="202" spans="1:75" ht="15" customHeight="1">
      <c r="A202" s="17"/>
      <c r="C202" s="7" t="s">
        <v>96</v>
      </c>
      <c r="D202" s="7" t="s">
        <v>469</v>
      </c>
      <c r="F202" s="52">
        <v>1.6050000000000002</v>
      </c>
      <c r="K202" s="34"/>
    </row>
    <row r="203" spans="1:75" ht="15" customHeight="1">
      <c r="A203" s="17"/>
      <c r="C203" s="7" t="s">
        <v>705</v>
      </c>
      <c r="D203" s="7" t="s">
        <v>469</v>
      </c>
      <c r="F203" s="52">
        <v>0.9</v>
      </c>
      <c r="K203" s="34"/>
    </row>
    <row r="204" spans="1:75" ht="15" customHeight="1">
      <c r="A204" s="17"/>
      <c r="C204" s="7" t="s">
        <v>229</v>
      </c>
      <c r="D204" s="7" t="s">
        <v>469</v>
      </c>
      <c r="F204" s="52">
        <v>2.04</v>
      </c>
      <c r="K204" s="34"/>
    </row>
    <row r="205" spans="1:75" ht="15" customHeight="1">
      <c r="A205" s="17"/>
      <c r="C205" s="7" t="s">
        <v>331</v>
      </c>
      <c r="D205" s="7" t="s">
        <v>469</v>
      </c>
      <c r="F205" s="52">
        <v>2.58</v>
      </c>
      <c r="K205" s="34"/>
    </row>
    <row r="206" spans="1:75" ht="15" customHeight="1">
      <c r="A206" s="17"/>
      <c r="C206" s="7" t="s">
        <v>544</v>
      </c>
      <c r="D206" s="7" t="s">
        <v>469</v>
      </c>
      <c r="F206" s="52">
        <v>2.04</v>
      </c>
      <c r="K206" s="34"/>
    </row>
    <row r="207" spans="1:75" ht="15" customHeight="1">
      <c r="A207" s="17"/>
      <c r="C207" s="7" t="s">
        <v>51</v>
      </c>
      <c r="D207" s="7" t="s">
        <v>469</v>
      </c>
      <c r="F207" s="52">
        <v>1.165</v>
      </c>
      <c r="K207" s="34"/>
    </row>
    <row r="208" spans="1:75" ht="15" customHeight="1">
      <c r="A208" s="17"/>
      <c r="C208" s="7" t="s">
        <v>163</v>
      </c>
      <c r="D208" s="7" t="s">
        <v>469</v>
      </c>
      <c r="F208" s="52">
        <v>0.9</v>
      </c>
      <c r="K208" s="34"/>
    </row>
    <row r="209" spans="1:75" ht="15" customHeight="1">
      <c r="A209" s="17"/>
      <c r="C209" s="7" t="s">
        <v>702</v>
      </c>
      <c r="D209" s="7" t="s">
        <v>469</v>
      </c>
      <c r="F209" s="52">
        <v>1.4800000000000002</v>
      </c>
      <c r="K209" s="34"/>
    </row>
    <row r="210" spans="1:75" ht="15" customHeight="1">
      <c r="A210" s="17"/>
      <c r="C210" s="7" t="s">
        <v>146</v>
      </c>
      <c r="D210" s="7" t="s">
        <v>469</v>
      </c>
      <c r="F210" s="52">
        <v>1.2000000000000002</v>
      </c>
      <c r="K210" s="34"/>
    </row>
    <row r="211" spans="1:75" ht="15" customHeight="1">
      <c r="A211" s="17"/>
      <c r="C211" s="7" t="s">
        <v>273</v>
      </c>
      <c r="D211" s="7" t="s">
        <v>469</v>
      </c>
      <c r="F211" s="52">
        <v>1.4700000000000002</v>
      </c>
      <c r="K211" s="34"/>
    </row>
    <row r="212" spans="1:75" ht="15" customHeight="1">
      <c r="A212" s="17"/>
      <c r="C212" s="7" t="s">
        <v>682</v>
      </c>
      <c r="D212" s="7" t="s">
        <v>469</v>
      </c>
      <c r="F212" s="52">
        <v>0.60000000000000009</v>
      </c>
      <c r="K212" s="34"/>
    </row>
    <row r="213" spans="1:75" ht="15" customHeight="1">
      <c r="A213" s="17"/>
      <c r="C213" s="7" t="s">
        <v>237</v>
      </c>
      <c r="D213" s="7" t="s">
        <v>469</v>
      </c>
      <c r="F213" s="52">
        <v>1.5000000000000002</v>
      </c>
      <c r="K213" s="34"/>
    </row>
    <row r="214" spans="1:75" ht="15" customHeight="1">
      <c r="A214" s="17"/>
      <c r="C214" s="7" t="s">
        <v>639</v>
      </c>
      <c r="D214" s="7" t="s">
        <v>469</v>
      </c>
      <c r="F214" s="52">
        <v>0.66</v>
      </c>
      <c r="K214" s="34"/>
    </row>
    <row r="215" spans="1:75" ht="15" customHeight="1">
      <c r="A215" s="17"/>
      <c r="C215" s="7" t="s">
        <v>307</v>
      </c>
      <c r="D215" s="7" t="s">
        <v>469</v>
      </c>
      <c r="F215" s="52">
        <v>0.9</v>
      </c>
      <c r="K215" s="34"/>
    </row>
    <row r="216" spans="1:75" ht="13.5" customHeight="1">
      <c r="A216" s="26" t="s">
        <v>521</v>
      </c>
      <c r="B216" s="46" t="s">
        <v>755</v>
      </c>
      <c r="C216" s="66" t="s">
        <v>117</v>
      </c>
      <c r="D216" s="63"/>
      <c r="E216" s="46" t="s">
        <v>556</v>
      </c>
      <c r="F216" s="41">
        <v>31.78</v>
      </c>
      <c r="G216" s="41">
        <v>0</v>
      </c>
      <c r="H216" s="41">
        <f>F216*AO216</f>
        <v>0</v>
      </c>
      <c r="I216" s="41">
        <f>F216*AP216</f>
        <v>0</v>
      </c>
      <c r="J216" s="41">
        <f>F216*G216</f>
        <v>0</v>
      </c>
      <c r="K216" s="13" t="s">
        <v>313</v>
      </c>
      <c r="Z216" s="41">
        <f>IF(AQ216="5",BJ216,0)</f>
        <v>0</v>
      </c>
      <c r="AB216" s="41">
        <f>IF(AQ216="1",BH216,0)</f>
        <v>0</v>
      </c>
      <c r="AC216" s="41">
        <f>IF(AQ216="1",BI216,0)</f>
        <v>0</v>
      </c>
      <c r="AD216" s="41">
        <f>IF(AQ216="7",BH216,0)</f>
        <v>0</v>
      </c>
      <c r="AE216" s="41">
        <f>IF(AQ216="7",BI216,0)</f>
        <v>0</v>
      </c>
      <c r="AF216" s="41">
        <f>IF(AQ216="2",BH216,0)</f>
        <v>0</v>
      </c>
      <c r="AG216" s="41">
        <f>IF(AQ216="2",BI216,0)</f>
        <v>0</v>
      </c>
      <c r="AH216" s="41">
        <f>IF(AQ216="0",BJ216,0)</f>
        <v>0</v>
      </c>
      <c r="AI216" s="8" t="s">
        <v>469</v>
      </c>
      <c r="AJ216" s="41">
        <f>IF(AN216=0,J216,0)</f>
        <v>0</v>
      </c>
      <c r="AK216" s="41">
        <f>IF(AN216=12,J216,0)</f>
        <v>0</v>
      </c>
      <c r="AL216" s="41">
        <f>IF(AN216=21,J216,0)</f>
        <v>0</v>
      </c>
      <c r="AN216" s="41">
        <v>12</v>
      </c>
      <c r="AO216" s="41">
        <f>G216*0.374075829383886</f>
        <v>0</v>
      </c>
      <c r="AP216" s="41">
        <f>G216*(1-0.374075829383886)</f>
        <v>0</v>
      </c>
      <c r="AQ216" s="38" t="s">
        <v>665</v>
      </c>
      <c r="AV216" s="41">
        <f>AW216+AX216</f>
        <v>0</v>
      </c>
      <c r="AW216" s="41">
        <f>F216*AO216</f>
        <v>0</v>
      </c>
      <c r="AX216" s="41">
        <f>F216*AP216</f>
        <v>0</v>
      </c>
      <c r="AY216" s="38" t="s">
        <v>537</v>
      </c>
      <c r="AZ216" s="38" t="s">
        <v>373</v>
      </c>
      <c r="BA216" s="8" t="s">
        <v>518</v>
      </c>
      <c r="BC216" s="41">
        <f>AW216+AX216</f>
        <v>0</v>
      </c>
      <c r="BD216" s="41">
        <f>G216/(100-BE216)*100</f>
        <v>0</v>
      </c>
      <c r="BE216" s="41">
        <v>0</v>
      </c>
      <c r="BF216" s="41">
        <f>216</f>
        <v>216</v>
      </c>
      <c r="BH216" s="41">
        <f>F216*AO216</f>
        <v>0</v>
      </c>
      <c r="BI216" s="41">
        <f>F216*AP216</f>
        <v>0</v>
      </c>
      <c r="BJ216" s="41">
        <f>F216*G216</f>
        <v>0</v>
      </c>
      <c r="BK216" s="41"/>
      <c r="BL216" s="41">
        <v>764</v>
      </c>
      <c r="BW216" s="41">
        <v>12</v>
      </c>
    </row>
    <row r="217" spans="1:75" ht="15" customHeight="1">
      <c r="A217" s="17"/>
      <c r="C217" s="7" t="s">
        <v>207</v>
      </c>
      <c r="D217" s="7" t="s">
        <v>469</v>
      </c>
      <c r="F217" s="52">
        <v>1.8</v>
      </c>
      <c r="K217" s="34"/>
    </row>
    <row r="218" spans="1:75" ht="15" customHeight="1">
      <c r="A218" s="17"/>
      <c r="C218" s="7" t="s">
        <v>587</v>
      </c>
      <c r="D218" s="7" t="s">
        <v>469</v>
      </c>
      <c r="F218" s="52">
        <v>0.58000000000000007</v>
      </c>
      <c r="K218" s="34"/>
    </row>
    <row r="219" spans="1:75" ht="15" customHeight="1">
      <c r="A219" s="17"/>
      <c r="C219" s="7" t="s">
        <v>614</v>
      </c>
      <c r="D219" s="7" t="s">
        <v>469</v>
      </c>
      <c r="F219" s="52">
        <v>2.0450000000000004</v>
      </c>
      <c r="K219" s="34"/>
    </row>
    <row r="220" spans="1:75" ht="15" customHeight="1">
      <c r="A220" s="17"/>
      <c r="C220" s="7" t="s">
        <v>673</v>
      </c>
      <c r="D220" s="7" t="s">
        <v>469</v>
      </c>
      <c r="F220" s="52">
        <v>2.4350000000000001</v>
      </c>
      <c r="K220" s="34"/>
    </row>
    <row r="221" spans="1:75" ht="15" customHeight="1">
      <c r="A221" s="17"/>
      <c r="C221" s="7" t="s">
        <v>298</v>
      </c>
      <c r="D221" s="7" t="s">
        <v>469</v>
      </c>
      <c r="F221" s="52">
        <v>1.4200000000000002</v>
      </c>
      <c r="K221" s="34"/>
    </row>
    <row r="222" spans="1:75" ht="15" customHeight="1">
      <c r="A222" s="17"/>
      <c r="C222" s="7" t="s">
        <v>139</v>
      </c>
      <c r="D222" s="7" t="s">
        <v>469</v>
      </c>
      <c r="F222" s="52">
        <v>2.4000000000000004</v>
      </c>
      <c r="K222" s="34"/>
    </row>
    <row r="223" spans="1:75" ht="15" customHeight="1">
      <c r="A223" s="17"/>
      <c r="C223" s="7" t="s">
        <v>423</v>
      </c>
      <c r="D223" s="7" t="s">
        <v>469</v>
      </c>
      <c r="F223" s="52">
        <v>2.06</v>
      </c>
      <c r="K223" s="34"/>
    </row>
    <row r="224" spans="1:75" ht="15" customHeight="1">
      <c r="A224" s="17"/>
      <c r="C224" s="7" t="s">
        <v>50</v>
      </c>
      <c r="D224" s="7" t="s">
        <v>469</v>
      </c>
      <c r="F224" s="52">
        <v>1.6050000000000002</v>
      </c>
      <c r="K224" s="34"/>
    </row>
    <row r="225" spans="1:75" ht="15" customHeight="1">
      <c r="A225" s="17"/>
      <c r="C225" s="7" t="s">
        <v>513</v>
      </c>
      <c r="D225" s="7" t="s">
        <v>469</v>
      </c>
      <c r="F225" s="52">
        <v>0.9</v>
      </c>
      <c r="K225" s="34"/>
    </row>
    <row r="226" spans="1:75" ht="15" customHeight="1">
      <c r="A226" s="17"/>
      <c r="C226" s="7" t="s">
        <v>48</v>
      </c>
      <c r="D226" s="7" t="s">
        <v>469</v>
      </c>
      <c r="F226" s="52">
        <v>2.04</v>
      </c>
      <c r="K226" s="34"/>
    </row>
    <row r="227" spans="1:75" ht="15" customHeight="1">
      <c r="A227" s="17"/>
      <c r="C227" s="7" t="s">
        <v>651</v>
      </c>
      <c r="D227" s="7" t="s">
        <v>469</v>
      </c>
      <c r="F227" s="52">
        <v>1.7200000000000002</v>
      </c>
      <c r="K227" s="34"/>
    </row>
    <row r="228" spans="1:75" ht="15" customHeight="1">
      <c r="A228" s="17"/>
      <c r="C228" s="7" t="s">
        <v>343</v>
      </c>
      <c r="D228" s="7" t="s">
        <v>469</v>
      </c>
      <c r="F228" s="52">
        <v>0.8600000000000001</v>
      </c>
      <c r="K228" s="34"/>
    </row>
    <row r="229" spans="1:75" ht="15" customHeight="1">
      <c r="A229" s="17"/>
      <c r="C229" s="7" t="s">
        <v>89</v>
      </c>
      <c r="D229" s="7" t="s">
        <v>469</v>
      </c>
      <c r="F229" s="52">
        <v>2.04</v>
      </c>
      <c r="K229" s="34"/>
    </row>
    <row r="230" spans="1:75" ht="15" customHeight="1">
      <c r="A230" s="17"/>
      <c r="C230" s="7" t="s">
        <v>22</v>
      </c>
      <c r="D230" s="7" t="s">
        <v>469</v>
      </c>
      <c r="F230" s="52">
        <v>1.165</v>
      </c>
      <c r="K230" s="34"/>
    </row>
    <row r="231" spans="1:75" ht="15" customHeight="1">
      <c r="A231" s="17"/>
      <c r="C231" s="7" t="s">
        <v>636</v>
      </c>
      <c r="D231" s="7" t="s">
        <v>469</v>
      </c>
      <c r="F231" s="52">
        <v>0.9</v>
      </c>
      <c r="K231" s="34"/>
    </row>
    <row r="232" spans="1:75" ht="15" customHeight="1">
      <c r="A232" s="17"/>
      <c r="C232" s="7" t="s">
        <v>721</v>
      </c>
      <c r="D232" s="7" t="s">
        <v>469</v>
      </c>
      <c r="F232" s="52">
        <v>1.4800000000000002</v>
      </c>
      <c r="K232" s="34"/>
    </row>
    <row r="233" spans="1:75" ht="15" customHeight="1">
      <c r="A233" s="17"/>
      <c r="C233" s="7" t="s">
        <v>145</v>
      </c>
      <c r="D233" s="7" t="s">
        <v>469</v>
      </c>
      <c r="F233" s="52">
        <v>1.2000000000000002</v>
      </c>
      <c r="K233" s="34"/>
    </row>
    <row r="234" spans="1:75" ht="15" customHeight="1">
      <c r="A234" s="17"/>
      <c r="C234" s="7" t="s">
        <v>638</v>
      </c>
      <c r="D234" s="7" t="s">
        <v>469</v>
      </c>
      <c r="F234" s="52">
        <v>1.4700000000000002</v>
      </c>
      <c r="K234" s="34"/>
    </row>
    <row r="235" spans="1:75" ht="15" customHeight="1">
      <c r="A235" s="17"/>
      <c r="C235" s="7" t="s">
        <v>3</v>
      </c>
      <c r="D235" s="7" t="s">
        <v>469</v>
      </c>
      <c r="F235" s="52">
        <v>0.60000000000000009</v>
      </c>
      <c r="K235" s="34"/>
    </row>
    <row r="236" spans="1:75" ht="15" customHeight="1">
      <c r="A236" s="17"/>
      <c r="C236" s="7" t="s">
        <v>137</v>
      </c>
      <c r="D236" s="7" t="s">
        <v>469</v>
      </c>
      <c r="F236" s="52">
        <v>1.5000000000000002</v>
      </c>
      <c r="K236" s="34"/>
    </row>
    <row r="237" spans="1:75" ht="15" customHeight="1">
      <c r="A237" s="17"/>
      <c r="C237" s="7" t="s">
        <v>470</v>
      </c>
      <c r="D237" s="7" t="s">
        <v>469</v>
      </c>
      <c r="F237" s="52">
        <v>0.66</v>
      </c>
      <c r="K237" s="34"/>
    </row>
    <row r="238" spans="1:75" ht="15" customHeight="1">
      <c r="A238" s="17"/>
      <c r="C238" s="7" t="s">
        <v>598</v>
      </c>
      <c r="D238" s="7" t="s">
        <v>469</v>
      </c>
      <c r="F238" s="52">
        <v>0.9</v>
      </c>
      <c r="K238" s="34"/>
    </row>
    <row r="239" spans="1:75" ht="13.5" customHeight="1">
      <c r="A239" s="26" t="s">
        <v>554</v>
      </c>
      <c r="B239" s="46" t="s">
        <v>247</v>
      </c>
      <c r="C239" s="66" t="s">
        <v>351</v>
      </c>
      <c r="D239" s="63"/>
      <c r="E239" s="46" t="s">
        <v>556</v>
      </c>
      <c r="F239" s="41">
        <v>28</v>
      </c>
      <c r="G239" s="41">
        <v>0</v>
      </c>
      <c r="H239" s="41">
        <f>F239*AO239</f>
        <v>0</v>
      </c>
      <c r="I239" s="41">
        <f>F239*AP239</f>
        <v>0</v>
      </c>
      <c r="J239" s="41">
        <f>F239*G239</f>
        <v>0</v>
      </c>
      <c r="K239" s="13" t="s">
        <v>313</v>
      </c>
      <c r="Z239" s="41">
        <f>IF(AQ239="5",BJ239,0)</f>
        <v>0</v>
      </c>
      <c r="AB239" s="41">
        <f>IF(AQ239="1",BH239,0)</f>
        <v>0</v>
      </c>
      <c r="AC239" s="41">
        <f>IF(AQ239="1",BI239,0)</f>
        <v>0</v>
      </c>
      <c r="AD239" s="41">
        <f>IF(AQ239="7",BH239,0)</f>
        <v>0</v>
      </c>
      <c r="AE239" s="41">
        <f>IF(AQ239="7",BI239,0)</f>
        <v>0</v>
      </c>
      <c r="AF239" s="41">
        <f>IF(AQ239="2",BH239,0)</f>
        <v>0</v>
      </c>
      <c r="AG239" s="41">
        <f>IF(AQ239="2",BI239,0)</f>
        <v>0</v>
      </c>
      <c r="AH239" s="41">
        <f>IF(AQ239="0",BJ239,0)</f>
        <v>0</v>
      </c>
      <c r="AI239" s="8" t="s">
        <v>469</v>
      </c>
      <c r="AJ239" s="41">
        <f>IF(AN239=0,J239,0)</f>
        <v>0</v>
      </c>
      <c r="AK239" s="41">
        <f>IF(AN239=12,J239,0)</f>
        <v>0</v>
      </c>
      <c r="AL239" s="41">
        <f>IF(AN239=21,J239,0)</f>
        <v>0</v>
      </c>
      <c r="AN239" s="41">
        <v>12</v>
      </c>
      <c r="AO239" s="41">
        <f>G239*0.526603096435499</f>
        <v>0</v>
      </c>
      <c r="AP239" s="41">
        <f>G239*(1-0.526603096435499)</f>
        <v>0</v>
      </c>
      <c r="AQ239" s="38" t="s">
        <v>665</v>
      </c>
      <c r="AV239" s="41">
        <f>AW239+AX239</f>
        <v>0</v>
      </c>
      <c r="AW239" s="41">
        <f>F239*AO239</f>
        <v>0</v>
      </c>
      <c r="AX239" s="41">
        <f>F239*AP239</f>
        <v>0</v>
      </c>
      <c r="AY239" s="38" t="s">
        <v>537</v>
      </c>
      <c r="AZ239" s="38" t="s">
        <v>373</v>
      </c>
      <c r="BA239" s="8" t="s">
        <v>518</v>
      </c>
      <c r="BC239" s="41">
        <f>AW239+AX239</f>
        <v>0</v>
      </c>
      <c r="BD239" s="41">
        <f>G239/(100-BE239)*100</f>
        <v>0</v>
      </c>
      <c r="BE239" s="41">
        <v>0</v>
      </c>
      <c r="BF239" s="41">
        <f>239</f>
        <v>239</v>
      </c>
      <c r="BH239" s="41">
        <f>F239*AO239</f>
        <v>0</v>
      </c>
      <c r="BI239" s="41">
        <f>F239*AP239</f>
        <v>0</v>
      </c>
      <c r="BJ239" s="41">
        <f>F239*G239</f>
        <v>0</v>
      </c>
      <c r="BK239" s="41"/>
      <c r="BL239" s="41">
        <v>764</v>
      </c>
      <c r="BW239" s="41">
        <v>12</v>
      </c>
    </row>
    <row r="240" spans="1:75" ht="15" customHeight="1">
      <c r="A240" s="17"/>
      <c r="C240" s="7" t="s">
        <v>365</v>
      </c>
      <c r="D240" s="7" t="s">
        <v>469</v>
      </c>
      <c r="F240" s="52">
        <v>28.000000000000004</v>
      </c>
      <c r="K240" s="34"/>
    </row>
    <row r="241" spans="1:75" ht="13.5" customHeight="1">
      <c r="A241" s="26" t="s">
        <v>289</v>
      </c>
      <c r="B241" s="46" t="s">
        <v>84</v>
      </c>
      <c r="C241" s="66" t="s">
        <v>21</v>
      </c>
      <c r="D241" s="63"/>
      <c r="E241" s="46" t="s">
        <v>556</v>
      </c>
      <c r="F241" s="41">
        <v>28</v>
      </c>
      <c r="G241" s="41">
        <v>0</v>
      </c>
      <c r="H241" s="41">
        <f>F241*AO241</f>
        <v>0</v>
      </c>
      <c r="I241" s="41">
        <f>F241*AP241</f>
        <v>0</v>
      </c>
      <c r="J241" s="41">
        <f>F241*G241</f>
        <v>0</v>
      </c>
      <c r="K241" s="13" t="s">
        <v>313</v>
      </c>
      <c r="Z241" s="41">
        <f>IF(AQ241="5",BJ241,0)</f>
        <v>0</v>
      </c>
      <c r="AB241" s="41">
        <f>IF(AQ241="1",BH241,0)</f>
        <v>0</v>
      </c>
      <c r="AC241" s="41">
        <f>IF(AQ241="1",BI241,0)</f>
        <v>0</v>
      </c>
      <c r="AD241" s="41">
        <f>IF(AQ241="7",BH241,0)</f>
        <v>0</v>
      </c>
      <c r="AE241" s="41">
        <f>IF(AQ241="7",BI241,0)</f>
        <v>0</v>
      </c>
      <c r="AF241" s="41">
        <f>IF(AQ241="2",BH241,0)</f>
        <v>0</v>
      </c>
      <c r="AG241" s="41">
        <f>IF(AQ241="2",BI241,0)</f>
        <v>0</v>
      </c>
      <c r="AH241" s="41">
        <f>IF(AQ241="0",BJ241,0)</f>
        <v>0</v>
      </c>
      <c r="AI241" s="8" t="s">
        <v>469</v>
      </c>
      <c r="AJ241" s="41">
        <f>IF(AN241=0,J241,0)</f>
        <v>0</v>
      </c>
      <c r="AK241" s="41">
        <f>IF(AN241=12,J241,0)</f>
        <v>0</v>
      </c>
      <c r="AL241" s="41">
        <f>IF(AN241=21,J241,0)</f>
        <v>0</v>
      </c>
      <c r="AN241" s="41">
        <v>12</v>
      </c>
      <c r="AO241" s="41">
        <f>G241*0.475900552486188</f>
        <v>0</v>
      </c>
      <c r="AP241" s="41">
        <f>G241*(1-0.475900552486188)</f>
        <v>0</v>
      </c>
      <c r="AQ241" s="38" t="s">
        <v>665</v>
      </c>
      <c r="AV241" s="41">
        <f>AW241+AX241</f>
        <v>0</v>
      </c>
      <c r="AW241" s="41">
        <f>F241*AO241</f>
        <v>0</v>
      </c>
      <c r="AX241" s="41">
        <f>F241*AP241</f>
        <v>0</v>
      </c>
      <c r="AY241" s="38" t="s">
        <v>537</v>
      </c>
      <c r="AZ241" s="38" t="s">
        <v>373</v>
      </c>
      <c r="BA241" s="8" t="s">
        <v>518</v>
      </c>
      <c r="BC241" s="41">
        <f>AW241+AX241</f>
        <v>0</v>
      </c>
      <c r="BD241" s="41">
        <f>G241/(100-BE241)*100</f>
        <v>0</v>
      </c>
      <c r="BE241" s="41">
        <v>0</v>
      </c>
      <c r="BF241" s="41">
        <f>241</f>
        <v>241</v>
      </c>
      <c r="BH241" s="41">
        <f>F241*AO241</f>
        <v>0</v>
      </c>
      <c r="BI241" s="41">
        <f>F241*AP241</f>
        <v>0</v>
      </c>
      <c r="BJ241" s="41">
        <f>F241*G241</f>
        <v>0</v>
      </c>
      <c r="BK241" s="41"/>
      <c r="BL241" s="41">
        <v>764</v>
      </c>
      <c r="BW241" s="41">
        <v>12</v>
      </c>
    </row>
    <row r="242" spans="1:75" ht="15" customHeight="1">
      <c r="A242" s="17"/>
      <c r="C242" s="7" t="s">
        <v>199</v>
      </c>
      <c r="D242" s="7" t="s">
        <v>469</v>
      </c>
      <c r="F242" s="52">
        <v>28.000000000000004</v>
      </c>
      <c r="K242" s="34"/>
    </row>
    <row r="243" spans="1:75" ht="13.5" customHeight="1">
      <c r="A243" s="26" t="s">
        <v>285</v>
      </c>
      <c r="B243" s="46" t="s">
        <v>4</v>
      </c>
      <c r="C243" s="66" t="s">
        <v>662</v>
      </c>
      <c r="D243" s="63"/>
      <c r="E243" s="46" t="s">
        <v>654</v>
      </c>
      <c r="F243" s="41">
        <v>6.08</v>
      </c>
      <c r="G243" s="41">
        <v>0</v>
      </c>
      <c r="H243" s="41">
        <f>F243*AO243</f>
        <v>0</v>
      </c>
      <c r="I243" s="41">
        <f>F243*AP243</f>
        <v>0</v>
      </c>
      <c r="J243" s="41">
        <f>F243*G243</f>
        <v>0</v>
      </c>
      <c r="K243" s="13" t="s">
        <v>313</v>
      </c>
      <c r="Z243" s="41">
        <f>IF(AQ243="5",BJ243,0)</f>
        <v>0</v>
      </c>
      <c r="AB243" s="41">
        <f>IF(AQ243="1",BH243,0)</f>
        <v>0</v>
      </c>
      <c r="AC243" s="41">
        <f>IF(AQ243="1",BI243,0)</f>
        <v>0</v>
      </c>
      <c r="AD243" s="41">
        <f>IF(AQ243="7",BH243,0)</f>
        <v>0</v>
      </c>
      <c r="AE243" s="41">
        <f>IF(AQ243="7",BI243,0)</f>
        <v>0</v>
      </c>
      <c r="AF243" s="41">
        <f>IF(AQ243="2",BH243,0)</f>
        <v>0</v>
      </c>
      <c r="AG243" s="41">
        <f>IF(AQ243="2",BI243,0)</f>
        <v>0</v>
      </c>
      <c r="AH243" s="41">
        <f>IF(AQ243="0",BJ243,0)</f>
        <v>0</v>
      </c>
      <c r="AI243" s="8" t="s">
        <v>469</v>
      </c>
      <c r="AJ243" s="41">
        <f>IF(AN243=0,J243,0)</f>
        <v>0</v>
      </c>
      <c r="AK243" s="41">
        <f>IF(AN243=12,J243,0)</f>
        <v>0</v>
      </c>
      <c r="AL243" s="41">
        <f>IF(AN243=21,J243,0)</f>
        <v>0</v>
      </c>
      <c r="AN243" s="41">
        <v>12</v>
      </c>
      <c r="AO243" s="41">
        <f>G243*0</f>
        <v>0</v>
      </c>
      <c r="AP243" s="41">
        <f>G243*(1-0)</f>
        <v>0</v>
      </c>
      <c r="AQ243" s="38" t="s">
        <v>665</v>
      </c>
      <c r="AV243" s="41">
        <f>AW243+AX243</f>
        <v>0</v>
      </c>
      <c r="AW243" s="41">
        <f>F243*AO243</f>
        <v>0</v>
      </c>
      <c r="AX243" s="41">
        <f>F243*AP243</f>
        <v>0</v>
      </c>
      <c r="AY243" s="38" t="s">
        <v>537</v>
      </c>
      <c r="AZ243" s="38" t="s">
        <v>373</v>
      </c>
      <c r="BA243" s="8" t="s">
        <v>518</v>
      </c>
      <c r="BC243" s="41">
        <f>AW243+AX243</f>
        <v>0</v>
      </c>
      <c r="BD243" s="41">
        <f>G243/(100-BE243)*100</f>
        <v>0</v>
      </c>
      <c r="BE243" s="41">
        <v>0</v>
      </c>
      <c r="BF243" s="41">
        <f>243</f>
        <v>243</v>
      </c>
      <c r="BH243" s="41">
        <f>F243*AO243</f>
        <v>0</v>
      </c>
      <c r="BI243" s="41">
        <f>F243*AP243</f>
        <v>0</v>
      </c>
      <c r="BJ243" s="41">
        <f>F243*G243</f>
        <v>0</v>
      </c>
      <c r="BK243" s="41"/>
      <c r="BL243" s="41">
        <v>764</v>
      </c>
      <c r="BW243" s="41">
        <v>12</v>
      </c>
    </row>
    <row r="244" spans="1:75" ht="15" customHeight="1">
      <c r="A244" s="17"/>
      <c r="C244" s="7" t="s">
        <v>584</v>
      </c>
      <c r="D244" s="7" t="s">
        <v>469</v>
      </c>
      <c r="F244" s="52">
        <v>4</v>
      </c>
      <c r="K244" s="34"/>
    </row>
    <row r="245" spans="1:75" ht="15" customHeight="1">
      <c r="A245" s="17"/>
      <c r="C245" s="7" t="s">
        <v>272</v>
      </c>
      <c r="D245" s="7" t="s">
        <v>469</v>
      </c>
      <c r="F245" s="52">
        <v>2.08</v>
      </c>
      <c r="K245" s="34"/>
    </row>
    <row r="246" spans="1:75" ht="13.5" customHeight="1">
      <c r="A246" s="26" t="s">
        <v>327</v>
      </c>
      <c r="B246" s="46" t="s">
        <v>177</v>
      </c>
      <c r="C246" s="66" t="s">
        <v>34</v>
      </c>
      <c r="D246" s="63"/>
      <c r="E246" s="46" t="s">
        <v>654</v>
      </c>
      <c r="F246" s="41">
        <v>6.08</v>
      </c>
      <c r="G246" s="41">
        <v>0</v>
      </c>
      <c r="H246" s="41">
        <f>F246*AO246</f>
        <v>0</v>
      </c>
      <c r="I246" s="41">
        <f>F246*AP246</f>
        <v>0</v>
      </c>
      <c r="J246" s="41">
        <f>F246*G246</f>
        <v>0</v>
      </c>
      <c r="K246" s="13" t="s">
        <v>313</v>
      </c>
      <c r="Z246" s="41">
        <f>IF(AQ246="5",BJ246,0)</f>
        <v>0</v>
      </c>
      <c r="AB246" s="41">
        <f>IF(AQ246="1",BH246,0)</f>
        <v>0</v>
      </c>
      <c r="AC246" s="41">
        <f>IF(AQ246="1",BI246,0)</f>
        <v>0</v>
      </c>
      <c r="AD246" s="41">
        <f>IF(AQ246="7",BH246,0)</f>
        <v>0</v>
      </c>
      <c r="AE246" s="41">
        <f>IF(AQ246="7",BI246,0)</f>
        <v>0</v>
      </c>
      <c r="AF246" s="41">
        <f>IF(AQ246="2",BH246,0)</f>
        <v>0</v>
      </c>
      <c r="AG246" s="41">
        <f>IF(AQ246="2",BI246,0)</f>
        <v>0</v>
      </c>
      <c r="AH246" s="41">
        <f>IF(AQ246="0",BJ246,0)</f>
        <v>0</v>
      </c>
      <c r="AI246" s="8" t="s">
        <v>469</v>
      </c>
      <c r="AJ246" s="41">
        <f>IF(AN246=0,J246,0)</f>
        <v>0</v>
      </c>
      <c r="AK246" s="41">
        <f>IF(AN246=12,J246,0)</f>
        <v>0</v>
      </c>
      <c r="AL246" s="41">
        <f>IF(AN246=21,J246,0)</f>
        <v>0</v>
      </c>
      <c r="AN246" s="41">
        <v>12</v>
      </c>
      <c r="AO246" s="41">
        <f>G246*0.690181067548849</f>
        <v>0</v>
      </c>
      <c r="AP246" s="41">
        <f>G246*(1-0.690181067548849)</f>
        <v>0</v>
      </c>
      <c r="AQ246" s="38" t="s">
        <v>665</v>
      </c>
      <c r="AV246" s="41">
        <f>AW246+AX246</f>
        <v>0</v>
      </c>
      <c r="AW246" s="41">
        <f>F246*AO246</f>
        <v>0</v>
      </c>
      <c r="AX246" s="41">
        <f>F246*AP246</f>
        <v>0</v>
      </c>
      <c r="AY246" s="38" t="s">
        <v>537</v>
      </c>
      <c r="AZ246" s="38" t="s">
        <v>373</v>
      </c>
      <c r="BA246" s="8" t="s">
        <v>518</v>
      </c>
      <c r="BC246" s="41">
        <f>AW246+AX246</f>
        <v>0</v>
      </c>
      <c r="BD246" s="41">
        <f>G246/(100-BE246)*100</f>
        <v>0</v>
      </c>
      <c r="BE246" s="41">
        <v>0</v>
      </c>
      <c r="BF246" s="41">
        <f>246</f>
        <v>246</v>
      </c>
      <c r="BH246" s="41">
        <f>F246*AO246</f>
        <v>0</v>
      </c>
      <c r="BI246" s="41">
        <f>F246*AP246</f>
        <v>0</v>
      </c>
      <c r="BJ246" s="41">
        <f>F246*G246</f>
        <v>0</v>
      </c>
      <c r="BK246" s="41"/>
      <c r="BL246" s="41">
        <v>764</v>
      </c>
      <c r="BW246" s="41">
        <v>12</v>
      </c>
    </row>
    <row r="247" spans="1:75" ht="15" customHeight="1">
      <c r="A247" s="17"/>
      <c r="C247" s="7" t="s">
        <v>491</v>
      </c>
      <c r="D247" s="7" t="s">
        <v>469</v>
      </c>
      <c r="F247" s="52">
        <v>4</v>
      </c>
      <c r="K247" s="34"/>
    </row>
    <row r="248" spans="1:75" ht="15" customHeight="1">
      <c r="A248" s="17"/>
      <c r="C248" s="7" t="s">
        <v>236</v>
      </c>
      <c r="D248" s="7" t="s">
        <v>469</v>
      </c>
      <c r="F248" s="52">
        <v>2.08</v>
      </c>
      <c r="K248" s="34"/>
    </row>
    <row r="249" spans="1:75" ht="15" customHeight="1">
      <c r="A249" s="11" t="s">
        <v>469</v>
      </c>
      <c r="B249" s="16" t="s">
        <v>284</v>
      </c>
      <c r="C249" s="79" t="s">
        <v>329</v>
      </c>
      <c r="D249" s="80"/>
      <c r="E249" s="58" t="s">
        <v>619</v>
      </c>
      <c r="F249" s="58" t="s">
        <v>619</v>
      </c>
      <c r="G249" s="58" t="s">
        <v>619</v>
      </c>
      <c r="H249" s="49">
        <f>SUM(H250:H324)</f>
        <v>0</v>
      </c>
      <c r="I249" s="49">
        <f>SUM(I250:I324)</f>
        <v>0</v>
      </c>
      <c r="J249" s="49">
        <f>SUM(J250:J324)</f>
        <v>0</v>
      </c>
      <c r="K249" s="32" t="s">
        <v>469</v>
      </c>
      <c r="AI249" s="8" t="s">
        <v>469</v>
      </c>
      <c r="AS249" s="49">
        <f>SUM(AJ250:AJ324)</f>
        <v>0</v>
      </c>
      <c r="AT249" s="49">
        <f>SUM(AK250:AK324)</f>
        <v>0</v>
      </c>
      <c r="AU249" s="49">
        <f>SUM(AL250:AL324)</f>
        <v>0</v>
      </c>
    </row>
    <row r="250" spans="1:75" ht="13.5" customHeight="1">
      <c r="A250" s="26" t="s">
        <v>616</v>
      </c>
      <c r="B250" s="46" t="s">
        <v>515</v>
      </c>
      <c r="C250" s="66" t="s">
        <v>555</v>
      </c>
      <c r="D250" s="63"/>
      <c r="E250" s="46" t="s">
        <v>182</v>
      </c>
      <c r="F250" s="41">
        <v>15</v>
      </c>
      <c r="G250" s="41">
        <v>0</v>
      </c>
      <c r="H250" s="41">
        <f>F250*AO250</f>
        <v>0</v>
      </c>
      <c r="I250" s="41">
        <f>F250*AP250</f>
        <v>0</v>
      </c>
      <c r="J250" s="41">
        <f>F250*G250</f>
        <v>0</v>
      </c>
      <c r="K250" s="13" t="s">
        <v>313</v>
      </c>
      <c r="Z250" s="41">
        <f>IF(AQ250="5",BJ250,0)</f>
        <v>0</v>
      </c>
      <c r="AB250" s="41">
        <f>IF(AQ250="1",BH250,0)</f>
        <v>0</v>
      </c>
      <c r="AC250" s="41">
        <f>IF(AQ250="1",BI250,0)</f>
        <v>0</v>
      </c>
      <c r="AD250" s="41">
        <f>IF(AQ250="7",BH250,0)</f>
        <v>0</v>
      </c>
      <c r="AE250" s="41">
        <f>IF(AQ250="7",BI250,0)</f>
        <v>0</v>
      </c>
      <c r="AF250" s="41">
        <f>IF(AQ250="2",BH250,0)</f>
        <v>0</v>
      </c>
      <c r="AG250" s="41">
        <f>IF(AQ250="2",BI250,0)</f>
        <v>0</v>
      </c>
      <c r="AH250" s="41">
        <f>IF(AQ250="0",BJ250,0)</f>
        <v>0</v>
      </c>
      <c r="AI250" s="8" t="s">
        <v>469</v>
      </c>
      <c r="AJ250" s="41">
        <f>IF(AN250=0,J250,0)</f>
        <v>0</v>
      </c>
      <c r="AK250" s="41">
        <f>IF(AN250=12,J250,0)</f>
        <v>0</v>
      </c>
      <c r="AL250" s="41">
        <f>IF(AN250=21,J250,0)</f>
        <v>0</v>
      </c>
      <c r="AN250" s="41">
        <v>12</v>
      </c>
      <c r="AO250" s="41">
        <f>G250*0.0949190151896701</f>
        <v>0</v>
      </c>
      <c r="AP250" s="41">
        <f>G250*(1-0.0949190151896701)</f>
        <v>0</v>
      </c>
      <c r="AQ250" s="38" t="s">
        <v>665</v>
      </c>
      <c r="AV250" s="41">
        <f>AW250+AX250</f>
        <v>0</v>
      </c>
      <c r="AW250" s="41">
        <f>F250*AO250</f>
        <v>0</v>
      </c>
      <c r="AX250" s="41">
        <f>F250*AP250</f>
        <v>0</v>
      </c>
      <c r="AY250" s="38" t="s">
        <v>86</v>
      </c>
      <c r="AZ250" s="38" t="s">
        <v>373</v>
      </c>
      <c r="BA250" s="8" t="s">
        <v>518</v>
      </c>
      <c r="BC250" s="41">
        <f>AW250+AX250</f>
        <v>0</v>
      </c>
      <c r="BD250" s="41">
        <f>G250/(100-BE250)*100</f>
        <v>0</v>
      </c>
      <c r="BE250" s="41">
        <v>0</v>
      </c>
      <c r="BF250" s="41">
        <f>250</f>
        <v>250</v>
      </c>
      <c r="BH250" s="41">
        <f>F250*AO250</f>
        <v>0</v>
      </c>
      <c r="BI250" s="41">
        <f>F250*AP250</f>
        <v>0</v>
      </c>
      <c r="BJ250" s="41">
        <f>F250*G250</f>
        <v>0</v>
      </c>
      <c r="BK250" s="41"/>
      <c r="BL250" s="41">
        <v>766</v>
      </c>
      <c r="BW250" s="41">
        <v>12</v>
      </c>
    </row>
    <row r="251" spans="1:75" ht="15" customHeight="1">
      <c r="A251" s="17"/>
      <c r="C251" s="7" t="s">
        <v>441</v>
      </c>
      <c r="D251" s="7" t="s">
        <v>469</v>
      </c>
      <c r="F251" s="52">
        <v>2</v>
      </c>
      <c r="K251" s="34"/>
    </row>
    <row r="252" spans="1:75" ht="15" customHeight="1">
      <c r="A252" s="17"/>
      <c r="C252" s="7" t="s">
        <v>37</v>
      </c>
      <c r="D252" s="7" t="s">
        <v>469</v>
      </c>
      <c r="F252" s="52">
        <v>1</v>
      </c>
      <c r="K252" s="34"/>
    </row>
    <row r="253" spans="1:75" ht="15" customHeight="1">
      <c r="A253" s="17"/>
      <c r="C253" s="7" t="s">
        <v>745</v>
      </c>
      <c r="D253" s="7" t="s">
        <v>469</v>
      </c>
      <c r="F253" s="52">
        <v>3.0000000000000004</v>
      </c>
      <c r="K253" s="34"/>
    </row>
    <row r="254" spans="1:75" ht="15" customHeight="1">
      <c r="A254" s="17"/>
      <c r="C254" s="7" t="s">
        <v>573</v>
      </c>
      <c r="D254" s="7" t="s">
        <v>469</v>
      </c>
      <c r="F254" s="52">
        <v>1</v>
      </c>
      <c r="K254" s="34"/>
    </row>
    <row r="255" spans="1:75" ht="15" customHeight="1">
      <c r="A255" s="17"/>
      <c r="C255" s="7" t="s">
        <v>143</v>
      </c>
      <c r="D255" s="7" t="s">
        <v>469</v>
      </c>
      <c r="F255" s="52">
        <v>2</v>
      </c>
      <c r="K255" s="34"/>
    </row>
    <row r="256" spans="1:75" ht="15" customHeight="1">
      <c r="A256" s="17"/>
      <c r="C256" s="7" t="s">
        <v>336</v>
      </c>
      <c r="D256" s="7" t="s">
        <v>469</v>
      </c>
      <c r="F256" s="52">
        <v>1</v>
      </c>
      <c r="K256" s="34"/>
    </row>
    <row r="257" spans="1:75" ht="15" customHeight="1">
      <c r="A257" s="17"/>
      <c r="C257" s="7" t="s">
        <v>494</v>
      </c>
      <c r="D257" s="7" t="s">
        <v>469</v>
      </c>
      <c r="F257" s="52">
        <v>1</v>
      </c>
      <c r="K257" s="34"/>
    </row>
    <row r="258" spans="1:75" ht="15" customHeight="1">
      <c r="A258" s="17"/>
      <c r="C258" s="7" t="s">
        <v>101</v>
      </c>
      <c r="D258" s="7" t="s">
        <v>469</v>
      </c>
      <c r="F258" s="52">
        <v>2</v>
      </c>
      <c r="K258" s="34"/>
    </row>
    <row r="259" spans="1:75" ht="15" customHeight="1">
      <c r="A259" s="17"/>
      <c r="C259" s="7" t="s">
        <v>292</v>
      </c>
      <c r="D259" s="7" t="s">
        <v>469</v>
      </c>
      <c r="F259" s="52">
        <v>1</v>
      </c>
      <c r="K259" s="34"/>
    </row>
    <row r="260" spans="1:75" ht="15" customHeight="1">
      <c r="A260" s="17"/>
      <c r="C260" s="7" t="s">
        <v>611</v>
      </c>
      <c r="D260" s="7" t="s">
        <v>469</v>
      </c>
      <c r="F260" s="52">
        <v>1</v>
      </c>
      <c r="K260" s="34"/>
    </row>
    <row r="261" spans="1:75" ht="13.5" customHeight="1">
      <c r="A261" s="26" t="s">
        <v>449</v>
      </c>
      <c r="B261" s="46" t="s">
        <v>514</v>
      </c>
      <c r="C261" s="66" t="s">
        <v>133</v>
      </c>
      <c r="D261" s="63"/>
      <c r="E261" s="46" t="s">
        <v>182</v>
      </c>
      <c r="F261" s="41">
        <v>2</v>
      </c>
      <c r="G261" s="41">
        <v>0</v>
      </c>
      <c r="H261" s="41">
        <f>F261*AO261</f>
        <v>0</v>
      </c>
      <c r="I261" s="41">
        <f>F261*AP261</f>
        <v>0</v>
      </c>
      <c r="J261" s="41">
        <f>F261*G261</f>
        <v>0</v>
      </c>
      <c r="K261" s="13" t="s">
        <v>469</v>
      </c>
      <c r="Z261" s="41">
        <f>IF(AQ261="5",BJ261,0)</f>
        <v>0</v>
      </c>
      <c r="AB261" s="41">
        <f>IF(AQ261="1",BH261,0)</f>
        <v>0</v>
      </c>
      <c r="AC261" s="41">
        <f>IF(AQ261="1",BI261,0)</f>
        <v>0</v>
      </c>
      <c r="AD261" s="41">
        <f>IF(AQ261="7",BH261,0)</f>
        <v>0</v>
      </c>
      <c r="AE261" s="41">
        <f>IF(AQ261="7",BI261,0)</f>
        <v>0</v>
      </c>
      <c r="AF261" s="41">
        <f>IF(AQ261="2",BH261,0)</f>
        <v>0</v>
      </c>
      <c r="AG261" s="41">
        <f>IF(AQ261="2",BI261,0)</f>
        <v>0</v>
      </c>
      <c r="AH261" s="41">
        <f>IF(AQ261="0",BJ261,0)</f>
        <v>0</v>
      </c>
      <c r="AI261" s="8" t="s">
        <v>469</v>
      </c>
      <c r="AJ261" s="41">
        <f>IF(AN261=0,J261,0)</f>
        <v>0</v>
      </c>
      <c r="AK261" s="41">
        <f>IF(AN261=12,J261,0)</f>
        <v>0</v>
      </c>
      <c r="AL261" s="41">
        <f>IF(AN261=21,J261,0)</f>
        <v>0</v>
      </c>
      <c r="AN261" s="41">
        <v>12</v>
      </c>
      <c r="AO261" s="41">
        <f>G261*1</f>
        <v>0</v>
      </c>
      <c r="AP261" s="41">
        <f>G261*(1-1)</f>
        <v>0</v>
      </c>
      <c r="AQ261" s="38" t="s">
        <v>665</v>
      </c>
      <c r="AV261" s="41">
        <f>AW261+AX261</f>
        <v>0</v>
      </c>
      <c r="AW261" s="41">
        <f>F261*AO261</f>
        <v>0</v>
      </c>
      <c r="AX261" s="41">
        <f>F261*AP261</f>
        <v>0</v>
      </c>
      <c r="AY261" s="38" t="s">
        <v>86</v>
      </c>
      <c r="AZ261" s="38" t="s">
        <v>373</v>
      </c>
      <c r="BA261" s="8" t="s">
        <v>518</v>
      </c>
      <c r="BC261" s="41">
        <f>AW261+AX261</f>
        <v>0</v>
      </c>
      <c r="BD261" s="41">
        <f>G261/(100-BE261)*100</f>
        <v>0</v>
      </c>
      <c r="BE261" s="41">
        <v>0</v>
      </c>
      <c r="BF261" s="41">
        <f>261</f>
        <v>261</v>
      </c>
      <c r="BH261" s="41">
        <f>F261*AO261</f>
        <v>0</v>
      </c>
      <c r="BI261" s="41">
        <f>F261*AP261</f>
        <v>0</v>
      </c>
      <c r="BJ261" s="41">
        <f>F261*G261</f>
        <v>0</v>
      </c>
      <c r="BK261" s="41"/>
      <c r="BL261" s="41">
        <v>766</v>
      </c>
      <c r="BW261" s="41">
        <v>12</v>
      </c>
    </row>
    <row r="262" spans="1:75" ht="15" customHeight="1">
      <c r="A262" s="17"/>
      <c r="C262" s="7" t="s">
        <v>441</v>
      </c>
      <c r="D262" s="7" t="s">
        <v>469</v>
      </c>
      <c r="F262" s="52">
        <v>2</v>
      </c>
      <c r="K262" s="34"/>
    </row>
    <row r="263" spans="1:75" ht="13.5" customHeight="1">
      <c r="A263" s="26" t="s">
        <v>429</v>
      </c>
      <c r="B263" s="46" t="s">
        <v>290</v>
      </c>
      <c r="C263" s="66" t="s">
        <v>324</v>
      </c>
      <c r="D263" s="63"/>
      <c r="E263" s="46" t="s">
        <v>182</v>
      </c>
      <c r="F263" s="41">
        <v>1</v>
      </c>
      <c r="G263" s="41">
        <v>0</v>
      </c>
      <c r="H263" s="41">
        <f>F263*AO263</f>
        <v>0</v>
      </c>
      <c r="I263" s="41">
        <f>F263*AP263</f>
        <v>0</v>
      </c>
      <c r="J263" s="41">
        <f>F263*G263</f>
        <v>0</v>
      </c>
      <c r="K263" s="13" t="s">
        <v>469</v>
      </c>
      <c r="Z263" s="41">
        <f>IF(AQ263="5",BJ263,0)</f>
        <v>0</v>
      </c>
      <c r="AB263" s="41">
        <f>IF(AQ263="1",BH263,0)</f>
        <v>0</v>
      </c>
      <c r="AC263" s="41">
        <f>IF(AQ263="1",BI263,0)</f>
        <v>0</v>
      </c>
      <c r="AD263" s="41">
        <f>IF(AQ263="7",BH263,0)</f>
        <v>0</v>
      </c>
      <c r="AE263" s="41">
        <f>IF(AQ263="7",BI263,0)</f>
        <v>0</v>
      </c>
      <c r="AF263" s="41">
        <f>IF(AQ263="2",BH263,0)</f>
        <v>0</v>
      </c>
      <c r="AG263" s="41">
        <f>IF(AQ263="2",BI263,0)</f>
        <v>0</v>
      </c>
      <c r="AH263" s="41">
        <f>IF(AQ263="0",BJ263,0)</f>
        <v>0</v>
      </c>
      <c r="AI263" s="8" t="s">
        <v>469</v>
      </c>
      <c r="AJ263" s="41">
        <f>IF(AN263=0,J263,0)</f>
        <v>0</v>
      </c>
      <c r="AK263" s="41">
        <f>IF(AN263=12,J263,0)</f>
        <v>0</v>
      </c>
      <c r="AL263" s="41">
        <f>IF(AN263=21,J263,0)</f>
        <v>0</v>
      </c>
      <c r="AN263" s="41">
        <v>12</v>
      </c>
      <c r="AO263" s="41">
        <f>G263*1</f>
        <v>0</v>
      </c>
      <c r="AP263" s="41">
        <f>G263*(1-1)</f>
        <v>0</v>
      </c>
      <c r="AQ263" s="38" t="s">
        <v>665</v>
      </c>
      <c r="AV263" s="41">
        <f>AW263+AX263</f>
        <v>0</v>
      </c>
      <c r="AW263" s="41">
        <f>F263*AO263</f>
        <v>0</v>
      </c>
      <c r="AX263" s="41">
        <f>F263*AP263</f>
        <v>0</v>
      </c>
      <c r="AY263" s="38" t="s">
        <v>86</v>
      </c>
      <c r="AZ263" s="38" t="s">
        <v>373</v>
      </c>
      <c r="BA263" s="8" t="s">
        <v>518</v>
      </c>
      <c r="BC263" s="41">
        <f>AW263+AX263</f>
        <v>0</v>
      </c>
      <c r="BD263" s="41">
        <f>G263/(100-BE263)*100</f>
        <v>0</v>
      </c>
      <c r="BE263" s="41">
        <v>0</v>
      </c>
      <c r="BF263" s="41">
        <f>263</f>
        <v>263</v>
      </c>
      <c r="BH263" s="41">
        <f>F263*AO263</f>
        <v>0</v>
      </c>
      <c r="BI263" s="41">
        <f>F263*AP263</f>
        <v>0</v>
      </c>
      <c r="BJ263" s="41">
        <f>F263*G263</f>
        <v>0</v>
      </c>
      <c r="BK263" s="41"/>
      <c r="BL263" s="41">
        <v>766</v>
      </c>
      <c r="BW263" s="41">
        <v>12</v>
      </c>
    </row>
    <row r="264" spans="1:75" ht="15" customHeight="1">
      <c r="A264" s="17"/>
      <c r="C264" s="7" t="s">
        <v>37</v>
      </c>
      <c r="D264" s="7" t="s">
        <v>469</v>
      </c>
      <c r="F264" s="52">
        <v>1</v>
      </c>
      <c r="K264" s="34"/>
    </row>
    <row r="265" spans="1:75" ht="13.5" customHeight="1">
      <c r="A265" s="26" t="s">
        <v>627</v>
      </c>
      <c r="B265" s="46" t="s">
        <v>516</v>
      </c>
      <c r="C265" s="66" t="s">
        <v>193</v>
      </c>
      <c r="D265" s="63"/>
      <c r="E265" s="46" t="s">
        <v>182</v>
      </c>
      <c r="F265" s="41">
        <v>3</v>
      </c>
      <c r="G265" s="41">
        <v>0</v>
      </c>
      <c r="H265" s="41">
        <f>F265*AO265</f>
        <v>0</v>
      </c>
      <c r="I265" s="41">
        <f>F265*AP265</f>
        <v>0</v>
      </c>
      <c r="J265" s="41">
        <f>F265*G265</f>
        <v>0</v>
      </c>
      <c r="K265" s="13" t="s">
        <v>469</v>
      </c>
      <c r="Z265" s="41">
        <f>IF(AQ265="5",BJ265,0)</f>
        <v>0</v>
      </c>
      <c r="AB265" s="41">
        <f>IF(AQ265="1",BH265,0)</f>
        <v>0</v>
      </c>
      <c r="AC265" s="41">
        <f>IF(AQ265="1",BI265,0)</f>
        <v>0</v>
      </c>
      <c r="AD265" s="41">
        <f>IF(AQ265="7",BH265,0)</f>
        <v>0</v>
      </c>
      <c r="AE265" s="41">
        <f>IF(AQ265="7",BI265,0)</f>
        <v>0</v>
      </c>
      <c r="AF265" s="41">
        <f>IF(AQ265="2",BH265,0)</f>
        <v>0</v>
      </c>
      <c r="AG265" s="41">
        <f>IF(AQ265="2",BI265,0)</f>
        <v>0</v>
      </c>
      <c r="AH265" s="41">
        <f>IF(AQ265="0",BJ265,0)</f>
        <v>0</v>
      </c>
      <c r="AI265" s="8" t="s">
        <v>469</v>
      </c>
      <c r="AJ265" s="41">
        <f>IF(AN265=0,J265,0)</f>
        <v>0</v>
      </c>
      <c r="AK265" s="41">
        <f>IF(AN265=12,J265,0)</f>
        <v>0</v>
      </c>
      <c r="AL265" s="41">
        <f>IF(AN265=21,J265,0)</f>
        <v>0</v>
      </c>
      <c r="AN265" s="41">
        <v>12</v>
      </c>
      <c r="AO265" s="41">
        <f>G265*1</f>
        <v>0</v>
      </c>
      <c r="AP265" s="41">
        <f>G265*(1-1)</f>
        <v>0</v>
      </c>
      <c r="AQ265" s="38" t="s">
        <v>665</v>
      </c>
      <c r="AV265" s="41">
        <f>AW265+AX265</f>
        <v>0</v>
      </c>
      <c r="AW265" s="41">
        <f>F265*AO265</f>
        <v>0</v>
      </c>
      <c r="AX265" s="41">
        <f>F265*AP265</f>
        <v>0</v>
      </c>
      <c r="AY265" s="38" t="s">
        <v>86</v>
      </c>
      <c r="AZ265" s="38" t="s">
        <v>373</v>
      </c>
      <c r="BA265" s="8" t="s">
        <v>518</v>
      </c>
      <c r="BC265" s="41">
        <f>AW265+AX265</f>
        <v>0</v>
      </c>
      <c r="BD265" s="41">
        <f>G265/(100-BE265)*100</f>
        <v>0</v>
      </c>
      <c r="BE265" s="41">
        <v>0</v>
      </c>
      <c r="BF265" s="41">
        <f>265</f>
        <v>265</v>
      </c>
      <c r="BH265" s="41">
        <f>F265*AO265</f>
        <v>0</v>
      </c>
      <c r="BI265" s="41">
        <f>F265*AP265</f>
        <v>0</v>
      </c>
      <c r="BJ265" s="41">
        <f>F265*G265</f>
        <v>0</v>
      </c>
      <c r="BK265" s="41"/>
      <c r="BL265" s="41">
        <v>766</v>
      </c>
      <c r="BW265" s="41">
        <v>12</v>
      </c>
    </row>
    <row r="266" spans="1:75" ht="15" customHeight="1">
      <c r="A266" s="17"/>
      <c r="C266" s="7" t="s">
        <v>745</v>
      </c>
      <c r="D266" s="7" t="s">
        <v>469</v>
      </c>
      <c r="F266" s="52">
        <v>3.0000000000000004</v>
      </c>
      <c r="K266" s="34"/>
    </row>
    <row r="267" spans="1:75" ht="13.5" customHeight="1">
      <c r="A267" s="26" t="s">
        <v>395</v>
      </c>
      <c r="B267" s="46" t="s">
        <v>396</v>
      </c>
      <c r="C267" s="66" t="s">
        <v>27</v>
      </c>
      <c r="D267" s="63"/>
      <c r="E267" s="46" t="s">
        <v>182</v>
      </c>
      <c r="F267" s="41">
        <v>1</v>
      </c>
      <c r="G267" s="41">
        <v>0</v>
      </c>
      <c r="H267" s="41">
        <f>F267*AO267</f>
        <v>0</v>
      </c>
      <c r="I267" s="41">
        <f>F267*AP267</f>
        <v>0</v>
      </c>
      <c r="J267" s="41">
        <f>F267*G267</f>
        <v>0</v>
      </c>
      <c r="K267" s="13" t="s">
        <v>469</v>
      </c>
      <c r="Z267" s="41">
        <f>IF(AQ267="5",BJ267,0)</f>
        <v>0</v>
      </c>
      <c r="AB267" s="41">
        <f>IF(AQ267="1",BH267,0)</f>
        <v>0</v>
      </c>
      <c r="AC267" s="41">
        <f>IF(AQ267="1",BI267,0)</f>
        <v>0</v>
      </c>
      <c r="AD267" s="41">
        <f>IF(AQ267="7",BH267,0)</f>
        <v>0</v>
      </c>
      <c r="AE267" s="41">
        <f>IF(AQ267="7",BI267,0)</f>
        <v>0</v>
      </c>
      <c r="AF267" s="41">
        <f>IF(AQ267="2",BH267,0)</f>
        <v>0</v>
      </c>
      <c r="AG267" s="41">
        <f>IF(AQ267="2",BI267,0)</f>
        <v>0</v>
      </c>
      <c r="AH267" s="41">
        <f>IF(AQ267="0",BJ267,0)</f>
        <v>0</v>
      </c>
      <c r="AI267" s="8" t="s">
        <v>469</v>
      </c>
      <c r="AJ267" s="41">
        <f>IF(AN267=0,J267,0)</f>
        <v>0</v>
      </c>
      <c r="AK267" s="41">
        <f>IF(AN267=12,J267,0)</f>
        <v>0</v>
      </c>
      <c r="AL267" s="41">
        <f>IF(AN267=21,J267,0)</f>
        <v>0</v>
      </c>
      <c r="AN267" s="41">
        <v>12</v>
      </c>
      <c r="AO267" s="41">
        <f>G267*1</f>
        <v>0</v>
      </c>
      <c r="AP267" s="41">
        <f>G267*(1-1)</f>
        <v>0</v>
      </c>
      <c r="AQ267" s="38" t="s">
        <v>665</v>
      </c>
      <c r="AV267" s="41">
        <f>AW267+AX267</f>
        <v>0</v>
      </c>
      <c r="AW267" s="41">
        <f>F267*AO267</f>
        <v>0</v>
      </c>
      <c r="AX267" s="41">
        <f>F267*AP267</f>
        <v>0</v>
      </c>
      <c r="AY267" s="38" t="s">
        <v>86</v>
      </c>
      <c r="AZ267" s="38" t="s">
        <v>373</v>
      </c>
      <c r="BA267" s="8" t="s">
        <v>518</v>
      </c>
      <c r="BC267" s="41">
        <f>AW267+AX267</f>
        <v>0</v>
      </c>
      <c r="BD267" s="41">
        <f>G267/(100-BE267)*100</f>
        <v>0</v>
      </c>
      <c r="BE267" s="41">
        <v>0</v>
      </c>
      <c r="BF267" s="41">
        <f>267</f>
        <v>267</v>
      </c>
      <c r="BH267" s="41">
        <f>F267*AO267</f>
        <v>0</v>
      </c>
      <c r="BI267" s="41">
        <f>F267*AP267</f>
        <v>0</v>
      </c>
      <c r="BJ267" s="41">
        <f>F267*G267</f>
        <v>0</v>
      </c>
      <c r="BK267" s="41"/>
      <c r="BL267" s="41">
        <v>766</v>
      </c>
      <c r="BW267" s="41">
        <v>12</v>
      </c>
    </row>
    <row r="268" spans="1:75" ht="15" customHeight="1">
      <c r="A268" s="17"/>
      <c r="C268" s="7" t="s">
        <v>573</v>
      </c>
      <c r="D268" s="7" t="s">
        <v>469</v>
      </c>
      <c r="F268" s="52">
        <v>1</v>
      </c>
      <c r="K268" s="34"/>
    </row>
    <row r="269" spans="1:75" ht="13.5" customHeight="1">
      <c r="A269" s="26" t="s">
        <v>317</v>
      </c>
      <c r="B269" s="46" t="s">
        <v>468</v>
      </c>
      <c r="C269" s="66" t="s">
        <v>198</v>
      </c>
      <c r="D269" s="63"/>
      <c r="E269" s="46" t="s">
        <v>182</v>
      </c>
      <c r="F269" s="41">
        <v>2</v>
      </c>
      <c r="G269" s="41">
        <v>0</v>
      </c>
      <c r="H269" s="41">
        <f>F269*AO269</f>
        <v>0</v>
      </c>
      <c r="I269" s="41">
        <f>F269*AP269</f>
        <v>0</v>
      </c>
      <c r="J269" s="41">
        <f>F269*G269</f>
        <v>0</v>
      </c>
      <c r="K269" s="13" t="s">
        <v>469</v>
      </c>
      <c r="Z269" s="41">
        <f>IF(AQ269="5",BJ269,0)</f>
        <v>0</v>
      </c>
      <c r="AB269" s="41">
        <f>IF(AQ269="1",BH269,0)</f>
        <v>0</v>
      </c>
      <c r="AC269" s="41">
        <f>IF(AQ269="1",BI269,0)</f>
        <v>0</v>
      </c>
      <c r="AD269" s="41">
        <f>IF(AQ269="7",BH269,0)</f>
        <v>0</v>
      </c>
      <c r="AE269" s="41">
        <f>IF(AQ269="7",BI269,0)</f>
        <v>0</v>
      </c>
      <c r="AF269" s="41">
        <f>IF(AQ269="2",BH269,0)</f>
        <v>0</v>
      </c>
      <c r="AG269" s="41">
        <f>IF(AQ269="2",BI269,0)</f>
        <v>0</v>
      </c>
      <c r="AH269" s="41">
        <f>IF(AQ269="0",BJ269,0)</f>
        <v>0</v>
      </c>
      <c r="AI269" s="8" t="s">
        <v>469</v>
      </c>
      <c r="AJ269" s="41">
        <f>IF(AN269=0,J269,0)</f>
        <v>0</v>
      </c>
      <c r="AK269" s="41">
        <f>IF(AN269=12,J269,0)</f>
        <v>0</v>
      </c>
      <c r="AL269" s="41">
        <f>IF(AN269=21,J269,0)</f>
        <v>0</v>
      </c>
      <c r="AN269" s="41">
        <v>12</v>
      </c>
      <c r="AO269" s="41">
        <f>G269*1</f>
        <v>0</v>
      </c>
      <c r="AP269" s="41">
        <f>G269*(1-1)</f>
        <v>0</v>
      </c>
      <c r="AQ269" s="38" t="s">
        <v>665</v>
      </c>
      <c r="AV269" s="41">
        <f>AW269+AX269</f>
        <v>0</v>
      </c>
      <c r="AW269" s="41">
        <f>F269*AO269</f>
        <v>0</v>
      </c>
      <c r="AX269" s="41">
        <f>F269*AP269</f>
        <v>0</v>
      </c>
      <c r="AY269" s="38" t="s">
        <v>86</v>
      </c>
      <c r="AZ269" s="38" t="s">
        <v>373</v>
      </c>
      <c r="BA269" s="8" t="s">
        <v>518</v>
      </c>
      <c r="BC269" s="41">
        <f>AW269+AX269</f>
        <v>0</v>
      </c>
      <c r="BD269" s="41">
        <f>G269/(100-BE269)*100</f>
        <v>0</v>
      </c>
      <c r="BE269" s="41">
        <v>0</v>
      </c>
      <c r="BF269" s="41">
        <f>269</f>
        <v>269</v>
      </c>
      <c r="BH269" s="41">
        <f>F269*AO269</f>
        <v>0</v>
      </c>
      <c r="BI269" s="41">
        <f>F269*AP269</f>
        <v>0</v>
      </c>
      <c r="BJ269" s="41">
        <f>F269*G269</f>
        <v>0</v>
      </c>
      <c r="BK269" s="41"/>
      <c r="BL269" s="41">
        <v>766</v>
      </c>
      <c r="BW269" s="41">
        <v>12</v>
      </c>
    </row>
    <row r="270" spans="1:75" ht="15" customHeight="1">
      <c r="A270" s="17"/>
      <c r="C270" s="7" t="s">
        <v>143</v>
      </c>
      <c r="D270" s="7" t="s">
        <v>469</v>
      </c>
      <c r="F270" s="52">
        <v>2</v>
      </c>
      <c r="K270" s="34"/>
    </row>
    <row r="271" spans="1:75" ht="13.5" customHeight="1">
      <c r="A271" s="26" t="s">
        <v>98</v>
      </c>
      <c r="B271" s="46" t="s">
        <v>316</v>
      </c>
      <c r="C271" s="66" t="s">
        <v>524</v>
      </c>
      <c r="D271" s="63"/>
      <c r="E271" s="46" t="s">
        <v>182</v>
      </c>
      <c r="F271" s="41">
        <v>1</v>
      </c>
      <c r="G271" s="41">
        <v>0</v>
      </c>
      <c r="H271" s="41">
        <f>F271*AO271</f>
        <v>0</v>
      </c>
      <c r="I271" s="41">
        <f>F271*AP271</f>
        <v>0</v>
      </c>
      <c r="J271" s="41">
        <f>F271*G271</f>
        <v>0</v>
      </c>
      <c r="K271" s="13" t="s">
        <v>469</v>
      </c>
      <c r="Z271" s="41">
        <f>IF(AQ271="5",BJ271,0)</f>
        <v>0</v>
      </c>
      <c r="AB271" s="41">
        <f>IF(AQ271="1",BH271,0)</f>
        <v>0</v>
      </c>
      <c r="AC271" s="41">
        <f>IF(AQ271="1",BI271,0)</f>
        <v>0</v>
      </c>
      <c r="AD271" s="41">
        <f>IF(AQ271="7",BH271,0)</f>
        <v>0</v>
      </c>
      <c r="AE271" s="41">
        <f>IF(AQ271="7",BI271,0)</f>
        <v>0</v>
      </c>
      <c r="AF271" s="41">
        <f>IF(AQ271="2",BH271,0)</f>
        <v>0</v>
      </c>
      <c r="AG271" s="41">
        <f>IF(AQ271="2",BI271,0)</f>
        <v>0</v>
      </c>
      <c r="AH271" s="41">
        <f>IF(AQ271="0",BJ271,0)</f>
        <v>0</v>
      </c>
      <c r="AI271" s="8" t="s">
        <v>469</v>
      </c>
      <c r="AJ271" s="41">
        <f>IF(AN271=0,J271,0)</f>
        <v>0</v>
      </c>
      <c r="AK271" s="41">
        <f>IF(AN271=12,J271,0)</f>
        <v>0</v>
      </c>
      <c r="AL271" s="41">
        <f>IF(AN271=21,J271,0)</f>
        <v>0</v>
      </c>
      <c r="AN271" s="41">
        <v>12</v>
      </c>
      <c r="AO271" s="41">
        <f>G271*1</f>
        <v>0</v>
      </c>
      <c r="AP271" s="41">
        <f>G271*(1-1)</f>
        <v>0</v>
      </c>
      <c r="AQ271" s="38" t="s">
        <v>665</v>
      </c>
      <c r="AV271" s="41">
        <f>AW271+AX271</f>
        <v>0</v>
      </c>
      <c r="AW271" s="41">
        <f>F271*AO271</f>
        <v>0</v>
      </c>
      <c r="AX271" s="41">
        <f>F271*AP271</f>
        <v>0</v>
      </c>
      <c r="AY271" s="38" t="s">
        <v>86</v>
      </c>
      <c r="AZ271" s="38" t="s">
        <v>373</v>
      </c>
      <c r="BA271" s="8" t="s">
        <v>518</v>
      </c>
      <c r="BC271" s="41">
        <f>AW271+AX271</f>
        <v>0</v>
      </c>
      <c r="BD271" s="41">
        <f>G271/(100-BE271)*100</f>
        <v>0</v>
      </c>
      <c r="BE271" s="41">
        <v>0</v>
      </c>
      <c r="BF271" s="41">
        <f>271</f>
        <v>271</v>
      </c>
      <c r="BH271" s="41">
        <f>F271*AO271</f>
        <v>0</v>
      </c>
      <c r="BI271" s="41">
        <f>F271*AP271</f>
        <v>0</v>
      </c>
      <c r="BJ271" s="41">
        <f>F271*G271</f>
        <v>0</v>
      </c>
      <c r="BK271" s="41"/>
      <c r="BL271" s="41">
        <v>766</v>
      </c>
      <c r="BW271" s="41">
        <v>12</v>
      </c>
    </row>
    <row r="272" spans="1:75" ht="15" customHeight="1">
      <c r="A272" s="17"/>
      <c r="C272" s="7" t="s">
        <v>336</v>
      </c>
      <c r="D272" s="7" t="s">
        <v>469</v>
      </c>
      <c r="F272" s="52">
        <v>1</v>
      </c>
      <c r="K272" s="34"/>
    </row>
    <row r="273" spans="1:75" ht="13.5" customHeight="1">
      <c r="A273" s="26" t="s">
        <v>492</v>
      </c>
      <c r="B273" s="46" t="s">
        <v>707</v>
      </c>
      <c r="C273" s="66" t="s">
        <v>594</v>
      </c>
      <c r="D273" s="63"/>
      <c r="E273" s="46" t="s">
        <v>182</v>
      </c>
      <c r="F273" s="41">
        <v>1</v>
      </c>
      <c r="G273" s="41">
        <v>0</v>
      </c>
      <c r="H273" s="41">
        <f>F273*AO273</f>
        <v>0</v>
      </c>
      <c r="I273" s="41">
        <f>F273*AP273</f>
        <v>0</v>
      </c>
      <c r="J273" s="41">
        <f>F273*G273</f>
        <v>0</v>
      </c>
      <c r="K273" s="13" t="s">
        <v>469</v>
      </c>
      <c r="Z273" s="41">
        <f>IF(AQ273="5",BJ273,0)</f>
        <v>0</v>
      </c>
      <c r="AB273" s="41">
        <f>IF(AQ273="1",BH273,0)</f>
        <v>0</v>
      </c>
      <c r="AC273" s="41">
        <f>IF(AQ273="1",BI273,0)</f>
        <v>0</v>
      </c>
      <c r="AD273" s="41">
        <f>IF(AQ273="7",BH273,0)</f>
        <v>0</v>
      </c>
      <c r="AE273" s="41">
        <f>IF(AQ273="7",BI273,0)</f>
        <v>0</v>
      </c>
      <c r="AF273" s="41">
        <f>IF(AQ273="2",BH273,0)</f>
        <v>0</v>
      </c>
      <c r="AG273" s="41">
        <f>IF(AQ273="2",BI273,0)</f>
        <v>0</v>
      </c>
      <c r="AH273" s="41">
        <f>IF(AQ273="0",BJ273,0)</f>
        <v>0</v>
      </c>
      <c r="AI273" s="8" t="s">
        <v>469</v>
      </c>
      <c r="AJ273" s="41">
        <f>IF(AN273=0,J273,0)</f>
        <v>0</v>
      </c>
      <c r="AK273" s="41">
        <f>IF(AN273=12,J273,0)</f>
        <v>0</v>
      </c>
      <c r="AL273" s="41">
        <f>IF(AN273=21,J273,0)</f>
        <v>0</v>
      </c>
      <c r="AN273" s="41">
        <v>12</v>
      </c>
      <c r="AO273" s="41">
        <f>G273*1</f>
        <v>0</v>
      </c>
      <c r="AP273" s="41">
        <f>G273*(1-1)</f>
        <v>0</v>
      </c>
      <c r="AQ273" s="38" t="s">
        <v>665</v>
      </c>
      <c r="AV273" s="41">
        <f>AW273+AX273</f>
        <v>0</v>
      </c>
      <c r="AW273" s="41">
        <f>F273*AO273</f>
        <v>0</v>
      </c>
      <c r="AX273" s="41">
        <f>F273*AP273</f>
        <v>0</v>
      </c>
      <c r="AY273" s="38" t="s">
        <v>86</v>
      </c>
      <c r="AZ273" s="38" t="s">
        <v>373</v>
      </c>
      <c r="BA273" s="8" t="s">
        <v>518</v>
      </c>
      <c r="BC273" s="41">
        <f>AW273+AX273</f>
        <v>0</v>
      </c>
      <c r="BD273" s="41">
        <f>G273/(100-BE273)*100</f>
        <v>0</v>
      </c>
      <c r="BE273" s="41">
        <v>0</v>
      </c>
      <c r="BF273" s="41">
        <f>273</f>
        <v>273</v>
      </c>
      <c r="BH273" s="41">
        <f>F273*AO273</f>
        <v>0</v>
      </c>
      <c r="BI273" s="41">
        <f>F273*AP273</f>
        <v>0</v>
      </c>
      <c r="BJ273" s="41">
        <f>F273*G273</f>
        <v>0</v>
      </c>
      <c r="BK273" s="41"/>
      <c r="BL273" s="41">
        <v>766</v>
      </c>
      <c r="BW273" s="41">
        <v>12</v>
      </c>
    </row>
    <row r="274" spans="1:75" ht="15" customHeight="1">
      <c r="A274" s="17"/>
      <c r="C274" s="7" t="s">
        <v>494</v>
      </c>
      <c r="D274" s="7" t="s">
        <v>469</v>
      </c>
      <c r="F274" s="52">
        <v>1</v>
      </c>
      <c r="K274" s="34"/>
    </row>
    <row r="275" spans="1:75" ht="13.5" customHeight="1">
      <c r="A275" s="26" t="s">
        <v>747</v>
      </c>
      <c r="B275" s="46" t="s">
        <v>318</v>
      </c>
      <c r="C275" s="66" t="s">
        <v>87</v>
      </c>
      <c r="D275" s="63"/>
      <c r="E275" s="46" t="s">
        <v>182</v>
      </c>
      <c r="F275" s="41">
        <v>2</v>
      </c>
      <c r="G275" s="41">
        <v>0</v>
      </c>
      <c r="H275" s="41">
        <f>F275*AO275</f>
        <v>0</v>
      </c>
      <c r="I275" s="41">
        <f>F275*AP275</f>
        <v>0</v>
      </c>
      <c r="J275" s="41">
        <f>F275*G275</f>
        <v>0</v>
      </c>
      <c r="K275" s="13" t="s">
        <v>469</v>
      </c>
      <c r="Z275" s="41">
        <f>IF(AQ275="5",BJ275,0)</f>
        <v>0</v>
      </c>
      <c r="AB275" s="41">
        <f>IF(AQ275="1",BH275,0)</f>
        <v>0</v>
      </c>
      <c r="AC275" s="41">
        <f>IF(AQ275="1",BI275,0)</f>
        <v>0</v>
      </c>
      <c r="AD275" s="41">
        <f>IF(AQ275="7",BH275,0)</f>
        <v>0</v>
      </c>
      <c r="AE275" s="41">
        <f>IF(AQ275="7",BI275,0)</f>
        <v>0</v>
      </c>
      <c r="AF275" s="41">
        <f>IF(AQ275="2",BH275,0)</f>
        <v>0</v>
      </c>
      <c r="AG275" s="41">
        <f>IF(AQ275="2",BI275,0)</f>
        <v>0</v>
      </c>
      <c r="AH275" s="41">
        <f>IF(AQ275="0",BJ275,0)</f>
        <v>0</v>
      </c>
      <c r="AI275" s="8" t="s">
        <v>469</v>
      </c>
      <c r="AJ275" s="41">
        <f>IF(AN275=0,J275,0)</f>
        <v>0</v>
      </c>
      <c r="AK275" s="41">
        <f>IF(AN275=12,J275,0)</f>
        <v>0</v>
      </c>
      <c r="AL275" s="41">
        <f>IF(AN275=21,J275,0)</f>
        <v>0</v>
      </c>
      <c r="AN275" s="41">
        <v>12</v>
      </c>
      <c r="AO275" s="41">
        <f>G275*1</f>
        <v>0</v>
      </c>
      <c r="AP275" s="41">
        <f>G275*(1-1)</f>
        <v>0</v>
      </c>
      <c r="AQ275" s="38" t="s">
        <v>665</v>
      </c>
      <c r="AV275" s="41">
        <f>AW275+AX275</f>
        <v>0</v>
      </c>
      <c r="AW275" s="41">
        <f>F275*AO275</f>
        <v>0</v>
      </c>
      <c r="AX275" s="41">
        <f>F275*AP275</f>
        <v>0</v>
      </c>
      <c r="AY275" s="38" t="s">
        <v>86</v>
      </c>
      <c r="AZ275" s="38" t="s">
        <v>373</v>
      </c>
      <c r="BA275" s="8" t="s">
        <v>518</v>
      </c>
      <c r="BC275" s="41">
        <f>AW275+AX275</f>
        <v>0</v>
      </c>
      <c r="BD275" s="41">
        <f>G275/(100-BE275)*100</f>
        <v>0</v>
      </c>
      <c r="BE275" s="41">
        <v>0</v>
      </c>
      <c r="BF275" s="41">
        <f>275</f>
        <v>275</v>
      </c>
      <c r="BH275" s="41">
        <f>F275*AO275</f>
        <v>0</v>
      </c>
      <c r="BI275" s="41">
        <f>F275*AP275</f>
        <v>0</v>
      </c>
      <c r="BJ275" s="41">
        <f>F275*G275</f>
        <v>0</v>
      </c>
      <c r="BK275" s="41"/>
      <c r="BL275" s="41">
        <v>766</v>
      </c>
      <c r="BW275" s="41">
        <v>12</v>
      </c>
    </row>
    <row r="276" spans="1:75" ht="15" customHeight="1">
      <c r="A276" s="17"/>
      <c r="C276" s="7" t="s">
        <v>101</v>
      </c>
      <c r="D276" s="7" t="s">
        <v>469</v>
      </c>
      <c r="F276" s="52">
        <v>2</v>
      </c>
      <c r="K276" s="34"/>
    </row>
    <row r="277" spans="1:75" ht="13.5" customHeight="1">
      <c r="A277" s="26" t="s">
        <v>168</v>
      </c>
      <c r="B277" s="46" t="s">
        <v>345</v>
      </c>
      <c r="C277" s="66" t="s">
        <v>220</v>
      </c>
      <c r="D277" s="63"/>
      <c r="E277" s="46" t="s">
        <v>182</v>
      </c>
      <c r="F277" s="41">
        <v>1</v>
      </c>
      <c r="G277" s="41">
        <v>0</v>
      </c>
      <c r="H277" s="41">
        <f>F277*AO277</f>
        <v>0</v>
      </c>
      <c r="I277" s="41">
        <f>F277*AP277</f>
        <v>0</v>
      </c>
      <c r="J277" s="41">
        <f>F277*G277</f>
        <v>0</v>
      </c>
      <c r="K277" s="13" t="s">
        <v>469</v>
      </c>
      <c r="Z277" s="41">
        <f>IF(AQ277="5",BJ277,0)</f>
        <v>0</v>
      </c>
      <c r="AB277" s="41">
        <f>IF(AQ277="1",BH277,0)</f>
        <v>0</v>
      </c>
      <c r="AC277" s="41">
        <f>IF(AQ277="1",BI277,0)</f>
        <v>0</v>
      </c>
      <c r="AD277" s="41">
        <f>IF(AQ277="7",BH277,0)</f>
        <v>0</v>
      </c>
      <c r="AE277" s="41">
        <f>IF(AQ277="7",BI277,0)</f>
        <v>0</v>
      </c>
      <c r="AF277" s="41">
        <f>IF(AQ277="2",BH277,0)</f>
        <v>0</v>
      </c>
      <c r="AG277" s="41">
        <f>IF(AQ277="2",BI277,0)</f>
        <v>0</v>
      </c>
      <c r="AH277" s="41">
        <f>IF(AQ277="0",BJ277,0)</f>
        <v>0</v>
      </c>
      <c r="AI277" s="8" t="s">
        <v>469</v>
      </c>
      <c r="AJ277" s="41">
        <f>IF(AN277=0,J277,0)</f>
        <v>0</v>
      </c>
      <c r="AK277" s="41">
        <f>IF(AN277=12,J277,0)</f>
        <v>0</v>
      </c>
      <c r="AL277" s="41">
        <f>IF(AN277=21,J277,0)</f>
        <v>0</v>
      </c>
      <c r="AN277" s="41">
        <v>12</v>
      </c>
      <c r="AO277" s="41">
        <f>G277*1</f>
        <v>0</v>
      </c>
      <c r="AP277" s="41">
        <f>G277*(1-1)</f>
        <v>0</v>
      </c>
      <c r="AQ277" s="38" t="s">
        <v>665</v>
      </c>
      <c r="AV277" s="41">
        <f>AW277+AX277</f>
        <v>0</v>
      </c>
      <c r="AW277" s="41">
        <f>F277*AO277</f>
        <v>0</v>
      </c>
      <c r="AX277" s="41">
        <f>F277*AP277</f>
        <v>0</v>
      </c>
      <c r="AY277" s="38" t="s">
        <v>86</v>
      </c>
      <c r="AZ277" s="38" t="s">
        <v>373</v>
      </c>
      <c r="BA277" s="8" t="s">
        <v>518</v>
      </c>
      <c r="BC277" s="41">
        <f>AW277+AX277</f>
        <v>0</v>
      </c>
      <c r="BD277" s="41">
        <f>G277/(100-BE277)*100</f>
        <v>0</v>
      </c>
      <c r="BE277" s="41">
        <v>0</v>
      </c>
      <c r="BF277" s="41">
        <f>277</f>
        <v>277</v>
      </c>
      <c r="BH277" s="41">
        <f>F277*AO277</f>
        <v>0</v>
      </c>
      <c r="BI277" s="41">
        <f>F277*AP277</f>
        <v>0</v>
      </c>
      <c r="BJ277" s="41">
        <f>F277*G277</f>
        <v>0</v>
      </c>
      <c r="BK277" s="41"/>
      <c r="BL277" s="41">
        <v>766</v>
      </c>
      <c r="BW277" s="41">
        <v>12</v>
      </c>
    </row>
    <row r="278" spans="1:75" ht="15" customHeight="1">
      <c r="A278" s="17"/>
      <c r="C278" s="7" t="s">
        <v>292</v>
      </c>
      <c r="D278" s="7" t="s">
        <v>469</v>
      </c>
      <c r="F278" s="52">
        <v>1</v>
      </c>
      <c r="K278" s="34"/>
    </row>
    <row r="279" spans="1:75" ht="13.5" customHeight="1">
      <c r="A279" s="26" t="s">
        <v>340</v>
      </c>
      <c r="B279" s="46" t="s">
        <v>253</v>
      </c>
      <c r="C279" s="66" t="s">
        <v>296</v>
      </c>
      <c r="D279" s="63"/>
      <c r="E279" s="46" t="s">
        <v>182</v>
      </c>
      <c r="F279" s="41">
        <v>1</v>
      </c>
      <c r="G279" s="41">
        <v>0</v>
      </c>
      <c r="H279" s="41">
        <f>F279*AO279</f>
        <v>0</v>
      </c>
      <c r="I279" s="41">
        <f>F279*AP279</f>
        <v>0</v>
      </c>
      <c r="J279" s="41">
        <f>F279*G279</f>
        <v>0</v>
      </c>
      <c r="K279" s="13" t="s">
        <v>469</v>
      </c>
      <c r="Z279" s="41">
        <f>IF(AQ279="5",BJ279,0)</f>
        <v>0</v>
      </c>
      <c r="AB279" s="41">
        <f>IF(AQ279="1",BH279,0)</f>
        <v>0</v>
      </c>
      <c r="AC279" s="41">
        <f>IF(AQ279="1",BI279,0)</f>
        <v>0</v>
      </c>
      <c r="AD279" s="41">
        <f>IF(AQ279="7",BH279,0)</f>
        <v>0</v>
      </c>
      <c r="AE279" s="41">
        <f>IF(AQ279="7",BI279,0)</f>
        <v>0</v>
      </c>
      <c r="AF279" s="41">
        <f>IF(AQ279="2",BH279,0)</f>
        <v>0</v>
      </c>
      <c r="AG279" s="41">
        <f>IF(AQ279="2",BI279,0)</f>
        <v>0</v>
      </c>
      <c r="AH279" s="41">
        <f>IF(AQ279="0",BJ279,0)</f>
        <v>0</v>
      </c>
      <c r="AI279" s="8" t="s">
        <v>469</v>
      </c>
      <c r="AJ279" s="41">
        <f>IF(AN279=0,J279,0)</f>
        <v>0</v>
      </c>
      <c r="AK279" s="41">
        <f>IF(AN279=12,J279,0)</f>
        <v>0</v>
      </c>
      <c r="AL279" s="41">
        <f>IF(AN279=21,J279,0)</f>
        <v>0</v>
      </c>
      <c r="AN279" s="41">
        <v>12</v>
      </c>
      <c r="AO279" s="41">
        <f>G279*1</f>
        <v>0</v>
      </c>
      <c r="AP279" s="41">
        <f>G279*(1-1)</f>
        <v>0</v>
      </c>
      <c r="AQ279" s="38" t="s">
        <v>665</v>
      </c>
      <c r="AV279" s="41">
        <f>AW279+AX279</f>
        <v>0</v>
      </c>
      <c r="AW279" s="41">
        <f>F279*AO279</f>
        <v>0</v>
      </c>
      <c r="AX279" s="41">
        <f>F279*AP279</f>
        <v>0</v>
      </c>
      <c r="AY279" s="38" t="s">
        <v>86</v>
      </c>
      <c r="AZ279" s="38" t="s">
        <v>373</v>
      </c>
      <c r="BA279" s="8" t="s">
        <v>518</v>
      </c>
      <c r="BC279" s="41">
        <f>AW279+AX279</f>
        <v>0</v>
      </c>
      <c r="BD279" s="41">
        <f>G279/(100-BE279)*100</f>
        <v>0</v>
      </c>
      <c r="BE279" s="41">
        <v>0</v>
      </c>
      <c r="BF279" s="41">
        <f>279</f>
        <v>279</v>
      </c>
      <c r="BH279" s="41">
        <f>F279*AO279</f>
        <v>0</v>
      </c>
      <c r="BI279" s="41">
        <f>F279*AP279</f>
        <v>0</v>
      </c>
      <c r="BJ279" s="41">
        <f>F279*G279</f>
        <v>0</v>
      </c>
      <c r="BK279" s="41"/>
      <c r="BL279" s="41">
        <v>766</v>
      </c>
      <c r="BW279" s="41">
        <v>12</v>
      </c>
    </row>
    <row r="280" spans="1:75" ht="15" customHeight="1">
      <c r="A280" s="17"/>
      <c r="C280" s="7" t="s">
        <v>611</v>
      </c>
      <c r="D280" s="7" t="s">
        <v>469</v>
      </c>
      <c r="F280" s="52">
        <v>1</v>
      </c>
      <c r="K280" s="34"/>
    </row>
    <row r="281" spans="1:75" ht="13.5" customHeight="1">
      <c r="A281" s="26" t="s">
        <v>742</v>
      </c>
      <c r="B281" s="46" t="s">
        <v>166</v>
      </c>
      <c r="C281" s="66" t="s">
        <v>725</v>
      </c>
      <c r="D281" s="63"/>
      <c r="E281" s="46" t="s">
        <v>182</v>
      </c>
      <c r="F281" s="41">
        <v>5</v>
      </c>
      <c r="G281" s="41">
        <v>0</v>
      </c>
      <c r="H281" s="41">
        <f>F281*AO281</f>
        <v>0</v>
      </c>
      <c r="I281" s="41">
        <f>F281*AP281</f>
        <v>0</v>
      </c>
      <c r="J281" s="41">
        <f>F281*G281</f>
        <v>0</v>
      </c>
      <c r="K281" s="13" t="s">
        <v>313</v>
      </c>
      <c r="Z281" s="41">
        <f>IF(AQ281="5",BJ281,0)</f>
        <v>0</v>
      </c>
      <c r="AB281" s="41">
        <f>IF(AQ281="1",BH281,0)</f>
        <v>0</v>
      </c>
      <c r="AC281" s="41">
        <f>IF(AQ281="1",BI281,0)</f>
        <v>0</v>
      </c>
      <c r="AD281" s="41">
        <f>IF(AQ281="7",BH281,0)</f>
        <v>0</v>
      </c>
      <c r="AE281" s="41">
        <f>IF(AQ281="7",BI281,0)</f>
        <v>0</v>
      </c>
      <c r="AF281" s="41">
        <f>IF(AQ281="2",BH281,0)</f>
        <v>0</v>
      </c>
      <c r="AG281" s="41">
        <f>IF(AQ281="2",BI281,0)</f>
        <v>0</v>
      </c>
      <c r="AH281" s="41">
        <f>IF(AQ281="0",BJ281,0)</f>
        <v>0</v>
      </c>
      <c r="AI281" s="8" t="s">
        <v>469</v>
      </c>
      <c r="AJ281" s="41">
        <f>IF(AN281=0,J281,0)</f>
        <v>0</v>
      </c>
      <c r="AK281" s="41">
        <f>IF(AN281=12,J281,0)</f>
        <v>0</v>
      </c>
      <c r="AL281" s="41">
        <f>IF(AN281=21,J281,0)</f>
        <v>0</v>
      </c>
      <c r="AN281" s="41">
        <v>12</v>
      </c>
      <c r="AO281" s="41">
        <f>G281*0.103507281553398</f>
        <v>0</v>
      </c>
      <c r="AP281" s="41">
        <f>G281*(1-0.103507281553398)</f>
        <v>0</v>
      </c>
      <c r="AQ281" s="38" t="s">
        <v>665</v>
      </c>
      <c r="AV281" s="41">
        <f>AW281+AX281</f>
        <v>0</v>
      </c>
      <c r="AW281" s="41">
        <f>F281*AO281</f>
        <v>0</v>
      </c>
      <c r="AX281" s="41">
        <f>F281*AP281</f>
        <v>0</v>
      </c>
      <c r="AY281" s="38" t="s">
        <v>86</v>
      </c>
      <c r="AZ281" s="38" t="s">
        <v>373</v>
      </c>
      <c r="BA281" s="8" t="s">
        <v>518</v>
      </c>
      <c r="BC281" s="41">
        <f>AW281+AX281</f>
        <v>0</v>
      </c>
      <c r="BD281" s="41">
        <f>G281/(100-BE281)*100</f>
        <v>0</v>
      </c>
      <c r="BE281" s="41">
        <v>0</v>
      </c>
      <c r="BF281" s="41">
        <f>281</f>
        <v>281</v>
      </c>
      <c r="BH281" s="41">
        <f>F281*AO281</f>
        <v>0</v>
      </c>
      <c r="BI281" s="41">
        <f>F281*AP281</f>
        <v>0</v>
      </c>
      <c r="BJ281" s="41">
        <f>F281*G281</f>
        <v>0</v>
      </c>
      <c r="BK281" s="41"/>
      <c r="BL281" s="41">
        <v>766</v>
      </c>
      <c r="BW281" s="41">
        <v>12</v>
      </c>
    </row>
    <row r="282" spans="1:75" ht="15" customHeight="1">
      <c r="A282" s="17"/>
      <c r="C282" s="7" t="s">
        <v>387</v>
      </c>
      <c r="D282" s="7" t="s">
        <v>469</v>
      </c>
      <c r="F282" s="52">
        <v>1</v>
      </c>
      <c r="K282" s="34"/>
    </row>
    <row r="283" spans="1:75" ht="15" customHeight="1">
      <c r="A283" s="17"/>
      <c r="C283" s="7" t="s">
        <v>404</v>
      </c>
      <c r="D283" s="7" t="s">
        <v>469</v>
      </c>
      <c r="F283" s="52">
        <v>1</v>
      </c>
      <c r="K283" s="34"/>
    </row>
    <row r="284" spans="1:75" ht="15" customHeight="1">
      <c r="A284" s="17"/>
      <c r="C284" s="7" t="s">
        <v>73</v>
      </c>
      <c r="D284" s="7" t="s">
        <v>469</v>
      </c>
      <c r="F284" s="52">
        <v>1</v>
      </c>
      <c r="K284" s="34"/>
    </row>
    <row r="285" spans="1:75" ht="15" customHeight="1">
      <c r="A285" s="17"/>
      <c r="C285" s="7" t="s">
        <v>496</v>
      </c>
      <c r="D285" s="7" t="s">
        <v>469</v>
      </c>
      <c r="F285" s="52">
        <v>1</v>
      </c>
      <c r="K285" s="34"/>
    </row>
    <row r="286" spans="1:75" ht="15" customHeight="1">
      <c r="A286" s="17"/>
      <c r="C286" s="7" t="s">
        <v>162</v>
      </c>
      <c r="D286" s="7" t="s">
        <v>469</v>
      </c>
      <c r="F286" s="52">
        <v>1</v>
      </c>
      <c r="K286" s="34"/>
    </row>
    <row r="287" spans="1:75" ht="13.5" customHeight="1">
      <c r="A287" s="26" t="s">
        <v>700</v>
      </c>
      <c r="B287" s="46" t="s">
        <v>461</v>
      </c>
      <c r="C287" s="66" t="s">
        <v>620</v>
      </c>
      <c r="D287" s="63"/>
      <c r="E287" s="46" t="s">
        <v>182</v>
      </c>
      <c r="F287" s="41">
        <v>1</v>
      </c>
      <c r="G287" s="41">
        <v>0</v>
      </c>
      <c r="H287" s="41">
        <f>F287*AO287</f>
        <v>0</v>
      </c>
      <c r="I287" s="41">
        <f>F287*AP287</f>
        <v>0</v>
      </c>
      <c r="J287" s="41">
        <f>F287*G287</f>
        <v>0</v>
      </c>
      <c r="K287" s="13" t="s">
        <v>469</v>
      </c>
      <c r="Z287" s="41">
        <f>IF(AQ287="5",BJ287,0)</f>
        <v>0</v>
      </c>
      <c r="AB287" s="41">
        <f>IF(AQ287="1",BH287,0)</f>
        <v>0</v>
      </c>
      <c r="AC287" s="41">
        <f>IF(AQ287="1",BI287,0)</f>
        <v>0</v>
      </c>
      <c r="AD287" s="41">
        <f>IF(AQ287="7",BH287,0)</f>
        <v>0</v>
      </c>
      <c r="AE287" s="41">
        <f>IF(AQ287="7",BI287,0)</f>
        <v>0</v>
      </c>
      <c r="AF287" s="41">
        <f>IF(AQ287="2",BH287,0)</f>
        <v>0</v>
      </c>
      <c r="AG287" s="41">
        <f>IF(AQ287="2",BI287,0)</f>
        <v>0</v>
      </c>
      <c r="AH287" s="41">
        <f>IF(AQ287="0",BJ287,0)</f>
        <v>0</v>
      </c>
      <c r="AI287" s="8" t="s">
        <v>469</v>
      </c>
      <c r="AJ287" s="41">
        <f>IF(AN287=0,J287,0)</f>
        <v>0</v>
      </c>
      <c r="AK287" s="41">
        <f>IF(AN287=12,J287,0)</f>
        <v>0</v>
      </c>
      <c r="AL287" s="41">
        <f>IF(AN287=21,J287,0)</f>
        <v>0</v>
      </c>
      <c r="AN287" s="41">
        <v>12</v>
      </c>
      <c r="AO287" s="41">
        <f>G287*1</f>
        <v>0</v>
      </c>
      <c r="AP287" s="41">
        <f>G287*(1-1)</f>
        <v>0</v>
      </c>
      <c r="AQ287" s="38" t="s">
        <v>665</v>
      </c>
      <c r="AV287" s="41">
        <f>AW287+AX287</f>
        <v>0</v>
      </c>
      <c r="AW287" s="41">
        <f>F287*AO287</f>
        <v>0</v>
      </c>
      <c r="AX287" s="41">
        <f>F287*AP287</f>
        <v>0</v>
      </c>
      <c r="AY287" s="38" t="s">
        <v>86</v>
      </c>
      <c r="AZ287" s="38" t="s">
        <v>373</v>
      </c>
      <c r="BA287" s="8" t="s">
        <v>518</v>
      </c>
      <c r="BC287" s="41">
        <f>AW287+AX287</f>
        <v>0</v>
      </c>
      <c r="BD287" s="41">
        <f>G287/(100-BE287)*100</f>
        <v>0</v>
      </c>
      <c r="BE287" s="41">
        <v>0</v>
      </c>
      <c r="BF287" s="41">
        <f>287</f>
        <v>287</v>
      </c>
      <c r="BH287" s="41">
        <f>F287*AO287</f>
        <v>0</v>
      </c>
      <c r="BI287" s="41">
        <f>F287*AP287</f>
        <v>0</v>
      </c>
      <c r="BJ287" s="41">
        <f>F287*G287</f>
        <v>0</v>
      </c>
      <c r="BK287" s="41"/>
      <c r="BL287" s="41">
        <v>766</v>
      </c>
      <c r="BW287" s="41">
        <v>12</v>
      </c>
    </row>
    <row r="288" spans="1:75" ht="15" customHeight="1">
      <c r="A288" s="17"/>
      <c r="C288" s="7" t="s">
        <v>387</v>
      </c>
      <c r="D288" s="7" t="s">
        <v>469</v>
      </c>
      <c r="F288" s="52">
        <v>1</v>
      </c>
      <c r="K288" s="34"/>
    </row>
    <row r="289" spans="1:75" ht="13.5" customHeight="1">
      <c r="A289" s="26" t="s">
        <v>11</v>
      </c>
      <c r="B289" s="46" t="s">
        <v>23</v>
      </c>
      <c r="C289" s="66" t="s">
        <v>624</v>
      </c>
      <c r="D289" s="63"/>
      <c r="E289" s="46" t="s">
        <v>182</v>
      </c>
      <c r="F289" s="41">
        <v>1</v>
      </c>
      <c r="G289" s="41">
        <v>0</v>
      </c>
      <c r="H289" s="41">
        <f>F289*AO289</f>
        <v>0</v>
      </c>
      <c r="I289" s="41">
        <f>F289*AP289</f>
        <v>0</v>
      </c>
      <c r="J289" s="41">
        <f>F289*G289</f>
        <v>0</v>
      </c>
      <c r="K289" s="13" t="s">
        <v>469</v>
      </c>
      <c r="Z289" s="41">
        <f>IF(AQ289="5",BJ289,0)</f>
        <v>0</v>
      </c>
      <c r="AB289" s="41">
        <f>IF(AQ289="1",BH289,0)</f>
        <v>0</v>
      </c>
      <c r="AC289" s="41">
        <f>IF(AQ289="1",BI289,0)</f>
        <v>0</v>
      </c>
      <c r="AD289" s="41">
        <f>IF(AQ289="7",BH289,0)</f>
        <v>0</v>
      </c>
      <c r="AE289" s="41">
        <f>IF(AQ289="7",BI289,0)</f>
        <v>0</v>
      </c>
      <c r="AF289" s="41">
        <f>IF(AQ289="2",BH289,0)</f>
        <v>0</v>
      </c>
      <c r="AG289" s="41">
        <f>IF(AQ289="2",BI289,0)</f>
        <v>0</v>
      </c>
      <c r="AH289" s="41">
        <f>IF(AQ289="0",BJ289,0)</f>
        <v>0</v>
      </c>
      <c r="AI289" s="8" t="s">
        <v>469</v>
      </c>
      <c r="AJ289" s="41">
        <f>IF(AN289=0,J289,0)</f>
        <v>0</v>
      </c>
      <c r="AK289" s="41">
        <f>IF(AN289=12,J289,0)</f>
        <v>0</v>
      </c>
      <c r="AL289" s="41">
        <f>IF(AN289=21,J289,0)</f>
        <v>0</v>
      </c>
      <c r="AN289" s="41">
        <v>12</v>
      </c>
      <c r="AO289" s="41">
        <f>G289*1</f>
        <v>0</v>
      </c>
      <c r="AP289" s="41">
        <f>G289*(1-1)</f>
        <v>0</v>
      </c>
      <c r="AQ289" s="38" t="s">
        <v>665</v>
      </c>
      <c r="AV289" s="41">
        <f>AW289+AX289</f>
        <v>0</v>
      </c>
      <c r="AW289" s="41">
        <f>F289*AO289</f>
        <v>0</v>
      </c>
      <c r="AX289" s="41">
        <f>F289*AP289</f>
        <v>0</v>
      </c>
      <c r="AY289" s="38" t="s">
        <v>86</v>
      </c>
      <c r="AZ289" s="38" t="s">
        <v>373</v>
      </c>
      <c r="BA289" s="8" t="s">
        <v>518</v>
      </c>
      <c r="BC289" s="41">
        <f>AW289+AX289</f>
        <v>0</v>
      </c>
      <c r="BD289" s="41">
        <f>G289/(100-BE289)*100</f>
        <v>0</v>
      </c>
      <c r="BE289" s="41">
        <v>0</v>
      </c>
      <c r="BF289" s="41">
        <f>289</f>
        <v>289</v>
      </c>
      <c r="BH289" s="41">
        <f>F289*AO289</f>
        <v>0</v>
      </c>
      <c r="BI289" s="41">
        <f>F289*AP289</f>
        <v>0</v>
      </c>
      <c r="BJ289" s="41">
        <f>F289*G289</f>
        <v>0</v>
      </c>
      <c r="BK289" s="41"/>
      <c r="BL289" s="41">
        <v>766</v>
      </c>
      <c r="BW289" s="41">
        <v>12</v>
      </c>
    </row>
    <row r="290" spans="1:75" ht="15" customHeight="1">
      <c r="A290" s="17"/>
      <c r="C290" s="7" t="s">
        <v>404</v>
      </c>
      <c r="D290" s="7" t="s">
        <v>469</v>
      </c>
      <c r="F290" s="52">
        <v>1</v>
      </c>
      <c r="K290" s="34"/>
    </row>
    <row r="291" spans="1:75" ht="13.5" customHeight="1">
      <c r="A291" s="26" t="s">
        <v>125</v>
      </c>
      <c r="B291" s="46" t="s">
        <v>240</v>
      </c>
      <c r="C291" s="66" t="s">
        <v>551</v>
      </c>
      <c r="D291" s="63"/>
      <c r="E291" s="46" t="s">
        <v>182</v>
      </c>
      <c r="F291" s="41">
        <v>1</v>
      </c>
      <c r="G291" s="41">
        <v>0</v>
      </c>
      <c r="H291" s="41">
        <f>F291*AO291</f>
        <v>0</v>
      </c>
      <c r="I291" s="41">
        <f>F291*AP291</f>
        <v>0</v>
      </c>
      <c r="J291" s="41">
        <f>F291*G291</f>
        <v>0</v>
      </c>
      <c r="K291" s="13" t="s">
        <v>469</v>
      </c>
      <c r="Z291" s="41">
        <f>IF(AQ291="5",BJ291,0)</f>
        <v>0</v>
      </c>
      <c r="AB291" s="41">
        <f>IF(AQ291="1",BH291,0)</f>
        <v>0</v>
      </c>
      <c r="AC291" s="41">
        <f>IF(AQ291="1",BI291,0)</f>
        <v>0</v>
      </c>
      <c r="AD291" s="41">
        <f>IF(AQ291="7",BH291,0)</f>
        <v>0</v>
      </c>
      <c r="AE291" s="41">
        <f>IF(AQ291="7",BI291,0)</f>
        <v>0</v>
      </c>
      <c r="AF291" s="41">
        <f>IF(AQ291="2",BH291,0)</f>
        <v>0</v>
      </c>
      <c r="AG291" s="41">
        <f>IF(AQ291="2",BI291,0)</f>
        <v>0</v>
      </c>
      <c r="AH291" s="41">
        <f>IF(AQ291="0",BJ291,0)</f>
        <v>0</v>
      </c>
      <c r="AI291" s="8" t="s">
        <v>469</v>
      </c>
      <c r="AJ291" s="41">
        <f>IF(AN291=0,J291,0)</f>
        <v>0</v>
      </c>
      <c r="AK291" s="41">
        <f>IF(AN291=12,J291,0)</f>
        <v>0</v>
      </c>
      <c r="AL291" s="41">
        <f>IF(AN291=21,J291,0)</f>
        <v>0</v>
      </c>
      <c r="AN291" s="41">
        <v>12</v>
      </c>
      <c r="AO291" s="41">
        <f>G291*1</f>
        <v>0</v>
      </c>
      <c r="AP291" s="41">
        <f>G291*(1-1)</f>
        <v>0</v>
      </c>
      <c r="AQ291" s="38" t="s">
        <v>665</v>
      </c>
      <c r="AV291" s="41">
        <f>AW291+AX291</f>
        <v>0</v>
      </c>
      <c r="AW291" s="41">
        <f>F291*AO291</f>
        <v>0</v>
      </c>
      <c r="AX291" s="41">
        <f>F291*AP291</f>
        <v>0</v>
      </c>
      <c r="AY291" s="38" t="s">
        <v>86</v>
      </c>
      <c r="AZ291" s="38" t="s">
        <v>373</v>
      </c>
      <c r="BA291" s="8" t="s">
        <v>518</v>
      </c>
      <c r="BC291" s="41">
        <f>AW291+AX291</f>
        <v>0</v>
      </c>
      <c r="BD291" s="41">
        <f>G291/(100-BE291)*100</f>
        <v>0</v>
      </c>
      <c r="BE291" s="41">
        <v>0</v>
      </c>
      <c r="BF291" s="41">
        <f>291</f>
        <v>291</v>
      </c>
      <c r="BH291" s="41">
        <f>F291*AO291</f>
        <v>0</v>
      </c>
      <c r="BI291" s="41">
        <f>F291*AP291</f>
        <v>0</v>
      </c>
      <c r="BJ291" s="41">
        <f>F291*G291</f>
        <v>0</v>
      </c>
      <c r="BK291" s="41"/>
      <c r="BL291" s="41">
        <v>766</v>
      </c>
      <c r="BW291" s="41">
        <v>12</v>
      </c>
    </row>
    <row r="292" spans="1:75" ht="15" customHeight="1">
      <c r="A292" s="17"/>
      <c r="C292" s="7" t="s">
        <v>73</v>
      </c>
      <c r="D292" s="7" t="s">
        <v>469</v>
      </c>
      <c r="F292" s="52">
        <v>1</v>
      </c>
      <c r="K292" s="34"/>
    </row>
    <row r="293" spans="1:75" ht="13.5" customHeight="1">
      <c r="A293" s="26" t="s">
        <v>152</v>
      </c>
      <c r="B293" s="46" t="s">
        <v>366</v>
      </c>
      <c r="C293" s="66" t="s">
        <v>66</v>
      </c>
      <c r="D293" s="63"/>
      <c r="E293" s="46" t="s">
        <v>182</v>
      </c>
      <c r="F293" s="41">
        <v>1</v>
      </c>
      <c r="G293" s="41">
        <v>0</v>
      </c>
      <c r="H293" s="41">
        <f>F293*AO293</f>
        <v>0</v>
      </c>
      <c r="I293" s="41">
        <f>F293*AP293</f>
        <v>0</v>
      </c>
      <c r="J293" s="41">
        <f>F293*G293</f>
        <v>0</v>
      </c>
      <c r="K293" s="13" t="s">
        <v>469</v>
      </c>
      <c r="Z293" s="41">
        <f>IF(AQ293="5",BJ293,0)</f>
        <v>0</v>
      </c>
      <c r="AB293" s="41">
        <f>IF(AQ293="1",BH293,0)</f>
        <v>0</v>
      </c>
      <c r="AC293" s="41">
        <f>IF(AQ293="1",BI293,0)</f>
        <v>0</v>
      </c>
      <c r="AD293" s="41">
        <f>IF(AQ293="7",BH293,0)</f>
        <v>0</v>
      </c>
      <c r="AE293" s="41">
        <f>IF(AQ293="7",BI293,0)</f>
        <v>0</v>
      </c>
      <c r="AF293" s="41">
        <f>IF(AQ293="2",BH293,0)</f>
        <v>0</v>
      </c>
      <c r="AG293" s="41">
        <f>IF(AQ293="2",BI293,0)</f>
        <v>0</v>
      </c>
      <c r="AH293" s="41">
        <f>IF(AQ293="0",BJ293,0)</f>
        <v>0</v>
      </c>
      <c r="AI293" s="8" t="s">
        <v>469</v>
      </c>
      <c r="AJ293" s="41">
        <f>IF(AN293=0,J293,0)</f>
        <v>0</v>
      </c>
      <c r="AK293" s="41">
        <f>IF(AN293=12,J293,0)</f>
        <v>0</v>
      </c>
      <c r="AL293" s="41">
        <f>IF(AN293=21,J293,0)</f>
        <v>0</v>
      </c>
      <c r="AN293" s="41">
        <v>12</v>
      </c>
      <c r="AO293" s="41">
        <f>G293*1</f>
        <v>0</v>
      </c>
      <c r="AP293" s="41">
        <f>G293*(1-1)</f>
        <v>0</v>
      </c>
      <c r="AQ293" s="38" t="s">
        <v>665</v>
      </c>
      <c r="AV293" s="41">
        <f>AW293+AX293</f>
        <v>0</v>
      </c>
      <c r="AW293" s="41">
        <f>F293*AO293</f>
        <v>0</v>
      </c>
      <c r="AX293" s="41">
        <f>F293*AP293</f>
        <v>0</v>
      </c>
      <c r="AY293" s="38" t="s">
        <v>86</v>
      </c>
      <c r="AZ293" s="38" t="s">
        <v>373</v>
      </c>
      <c r="BA293" s="8" t="s">
        <v>518</v>
      </c>
      <c r="BC293" s="41">
        <f>AW293+AX293</f>
        <v>0</v>
      </c>
      <c r="BD293" s="41">
        <f>G293/(100-BE293)*100</f>
        <v>0</v>
      </c>
      <c r="BE293" s="41">
        <v>0</v>
      </c>
      <c r="BF293" s="41">
        <f>293</f>
        <v>293</v>
      </c>
      <c r="BH293" s="41">
        <f>F293*AO293</f>
        <v>0</v>
      </c>
      <c r="BI293" s="41">
        <f>F293*AP293</f>
        <v>0</v>
      </c>
      <c r="BJ293" s="41">
        <f>F293*G293</f>
        <v>0</v>
      </c>
      <c r="BK293" s="41"/>
      <c r="BL293" s="41">
        <v>766</v>
      </c>
      <c r="BW293" s="41">
        <v>12</v>
      </c>
    </row>
    <row r="294" spans="1:75" ht="15" customHeight="1">
      <c r="A294" s="17"/>
      <c r="C294" s="7" t="s">
        <v>496</v>
      </c>
      <c r="D294" s="7" t="s">
        <v>469</v>
      </c>
      <c r="F294" s="52">
        <v>1</v>
      </c>
      <c r="K294" s="34"/>
    </row>
    <row r="295" spans="1:75" ht="13.5" customHeight="1">
      <c r="A295" s="26" t="s">
        <v>528</v>
      </c>
      <c r="B295" s="46" t="s">
        <v>648</v>
      </c>
      <c r="C295" s="66" t="s">
        <v>637</v>
      </c>
      <c r="D295" s="63"/>
      <c r="E295" s="46" t="s">
        <v>182</v>
      </c>
      <c r="F295" s="41">
        <v>1</v>
      </c>
      <c r="G295" s="41">
        <v>0</v>
      </c>
      <c r="H295" s="41">
        <f>F295*AO295</f>
        <v>0</v>
      </c>
      <c r="I295" s="41">
        <f>F295*AP295</f>
        <v>0</v>
      </c>
      <c r="J295" s="41">
        <f>F295*G295</f>
        <v>0</v>
      </c>
      <c r="K295" s="13" t="s">
        <v>469</v>
      </c>
      <c r="Z295" s="41">
        <f>IF(AQ295="5",BJ295,0)</f>
        <v>0</v>
      </c>
      <c r="AB295" s="41">
        <f>IF(AQ295="1",BH295,0)</f>
        <v>0</v>
      </c>
      <c r="AC295" s="41">
        <f>IF(AQ295="1",BI295,0)</f>
        <v>0</v>
      </c>
      <c r="AD295" s="41">
        <f>IF(AQ295="7",BH295,0)</f>
        <v>0</v>
      </c>
      <c r="AE295" s="41">
        <f>IF(AQ295="7",BI295,0)</f>
        <v>0</v>
      </c>
      <c r="AF295" s="41">
        <f>IF(AQ295="2",BH295,0)</f>
        <v>0</v>
      </c>
      <c r="AG295" s="41">
        <f>IF(AQ295="2",BI295,0)</f>
        <v>0</v>
      </c>
      <c r="AH295" s="41">
        <f>IF(AQ295="0",BJ295,0)</f>
        <v>0</v>
      </c>
      <c r="AI295" s="8" t="s">
        <v>469</v>
      </c>
      <c r="AJ295" s="41">
        <f>IF(AN295=0,J295,0)</f>
        <v>0</v>
      </c>
      <c r="AK295" s="41">
        <f>IF(AN295=12,J295,0)</f>
        <v>0</v>
      </c>
      <c r="AL295" s="41">
        <f>IF(AN295=21,J295,0)</f>
        <v>0</v>
      </c>
      <c r="AN295" s="41">
        <v>12</v>
      </c>
      <c r="AO295" s="41">
        <f>G295*1</f>
        <v>0</v>
      </c>
      <c r="AP295" s="41">
        <f>G295*(1-1)</f>
        <v>0</v>
      </c>
      <c r="AQ295" s="38" t="s">
        <v>665</v>
      </c>
      <c r="AV295" s="41">
        <f>AW295+AX295</f>
        <v>0</v>
      </c>
      <c r="AW295" s="41">
        <f>F295*AO295</f>
        <v>0</v>
      </c>
      <c r="AX295" s="41">
        <f>F295*AP295</f>
        <v>0</v>
      </c>
      <c r="AY295" s="38" t="s">
        <v>86</v>
      </c>
      <c r="AZ295" s="38" t="s">
        <v>373</v>
      </c>
      <c r="BA295" s="8" t="s">
        <v>518</v>
      </c>
      <c r="BC295" s="41">
        <f>AW295+AX295</f>
        <v>0</v>
      </c>
      <c r="BD295" s="41">
        <f>G295/(100-BE295)*100</f>
        <v>0</v>
      </c>
      <c r="BE295" s="41">
        <v>0</v>
      </c>
      <c r="BF295" s="41">
        <f>295</f>
        <v>295</v>
      </c>
      <c r="BH295" s="41">
        <f>F295*AO295</f>
        <v>0</v>
      </c>
      <c r="BI295" s="41">
        <f>F295*AP295</f>
        <v>0</v>
      </c>
      <c r="BJ295" s="41">
        <f>F295*G295</f>
        <v>0</v>
      </c>
      <c r="BK295" s="41"/>
      <c r="BL295" s="41">
        <v>766</v>
      </c>
      <c r="BW295" s="41">
        <v>12</v>
      </c>
    </row>
    <row r="296" spans="1:75" ht="15" customHeight="1">
      <c r="A296" s="17"/>
      <c r="C296" s="7" t="s">
        <v>162</v>
      </c>
      <c r="D296" s="7" t="s">
        <v>469</v>
      </c>
      <c r="F296" s="52">
        <v>1</v>
      </c>
      <c r="K296" s="34"/>
    </row>
    <row r="297" spans="1:75" ht="13.5" customHeight="1">
      <c r="A297" s="26" t="s">
        <v>72</v>
      </c>
      <c r="B297" s="46" t="s">
        <v>472</v>
      </c>
      <c r="C297" s="66" t="s">
        <v>642</v>
      </c>
      <c r="D297" s="63"/>
      <c r="E297" s="46" t="s">
        <v>182</v>
      </c>
      <c r="F297" s="41">
        <v>6</v>
      </c>
      <c r="G297" s="41">
        <v>0</v>
      </c>
      <c r="H297" s="41">
        <f>F297*AO297</f>
        <v>0</v>
      </c>
      <c r="I297" s="41">
        <f>F297*AP297</f>
        <v>0</v>
      </c>
      <c r="J297" s="41">
        <f>F297*G297</f>
        <v>0</v>
      </c>
      <c r="K297" s="13" t="s">
        <v>313</v>
      </c>
      <c r="Z297" s="41">
        <f>IF(AQ297="5",BJ297,0)</f>
        <v>0</v>
      </c>
      <c r="AB297" s="41">
        <f>IF(AQ297="1",BH297,0)</f>
        <v>0</v>
      </c>
      <c r="AC297" s="41">
        <f>IF(AQ297="1",BI297,0)</f>
        <v>0</v>
      </c>
      <c r="AD297" s="41">
        <f>IF(AQ297="7",BH297,0)</f>
        <v>0</v>
      </c>
      <c r="AE297" s="41">
        <f>IF(AQ297="7",BI297,0)</f>
        <v>0</v>
      </c>
      <c r="AF297" s="41">
        <f>IF(AQ297="2",BH297,0)</f>
        <v>0</v>
      </c>
      <c r="AG297" s="41">
        <f>IF(AQ297="2",BI297,0)</f>
        <v>0</v>
      </c>
      <c r="AH297" s="41">
        <f>IF(AQ297="0",BJ297,0)</f>
        <v>0</v>
      </c>
      <c r="AI297" s="8" t="s">
        <v>469</v>
      </c>
      <c r="AJ297" s="41">
        <f>IF(AN297=0,J297,0)</f>
        <v>0</v>
      </c>
      <c r="AK297" s="41">
        <f>IF(AN297=12,J297,0)</f>
        <v>0</v>
      </c>
      <c r="AL297" s="41">
        <f>IF(AN297=21,J297,0)</f>
        <v>0</v>
      </c>
      <c r="AN297" s="41">
        <v>12</v>
      </c>
      <c r="AO297" s="41">
        <f>G297*0.130348101265823</f>
        <v>0</v>
      </c>
      <c r="AP297" s="41">
        <f>G297*(1-0.130348101265823)</f>
        <v>0</v>
      </c>
      <c r="AQ297" s="38" t="s">
        <v>665</v>
      </c>
      <c r="AV297" s="41">
        <f>AW297+AX297</f>
        <v>0</v>
      </c>
      <c r="AW297" s="41">
        <f>F297*AO297</f>
        <v>0</v>
      </c>
      <c r="AX297" s="41">
        <f>F297*AP297</f>
        <v>0</v>
      </c>
      <c r="AY297" s="38" t="s">
        <v>86</v>
      </c>
      <c r="AZ297" s="38" t="s">
        <v>373</v>
      </c>
      <c r="BA297" s="8" t="s">
        <v>518</v>
      </c>
      <c r="BC297" s="41">
        <f>AW297+AX297</f>
        <v>0</v>
      </c>
      <c r="BD297" s="41">
        <f>G297/(100-BE297)*100</f>
        <v>0</v>
      </c>
      <c r="BE297" s="41">
        <v>0</v>
      </c>
      <c r="BF297" s="41">
        <f>297</f>
        <v>297</v>
      </c>
      <c r="BH297" s="41">
        <f>F297*AO297</f>
        <v>0</v>
      </c>
      <c r="BI297" s="41">
        <f>F297*AP297</f>
        <v>0</v>
      </c>
      <c r="BJ297" s="41">
        <f>F297*G297</f>
        <v>0</v>
      </c>
      <c r="BK297" s="41"/>
      <c r="BL297" s="41">
        <v>766</v>
      </c>
      <c r="BW297" s="41">
        <v>12</v>
      </c>
    </row>
    <row r="298" spans="1:75" ht="15" customHeight="1">
      <c r="A298" s="17"/>
      <c r="C298" s="7" t="s">
        <v>741</v>
      </c>
      <c r="D298" s="7" t="s">
        <v>469</v>
      </c>
      <c r="F298" s="52">
        <v>1</v>
      </c>
      <c r="K298" s="34"/>
    </row>
    <row r="299" spans="1:75" ht="15" customHeight="1">
      <c r="A299" s="17"/>
      <c r="C299" s="7" t="s">
        <v>214</v>
      </c>
      <c r="D299" s="7" t="s">
        <v>469</v>
      </c>
      <c r="F299" s="52">
        <v>1</v>
      </c>
      <c r="K299" s="34"/>
    </row>
    <row r="300" spans="1:75" ht="15" customHeight="1">
      <c r="A300" s="17"/>
      <c r="C300" s="7" t="s">
        <v>622</v>
      </c>
      <c r="D300" s="7" t="s">
        <v>469</v>
      </c>
      <c r="F300" s="52">
        <v>1</v>
      </c>
      <c r="K300" s="34"/>
    </row>
    <row r="301" spans="1:75" ht="15" customHeight="1">
      <c r="A301" s="17"/>
      <c r="C301" s="7" t="s">
        <v>498</v>
      </c>
      <c r="D301" s="7" t="s">
        <v>469</v>
      </c>
      <c r="F301" s="52">
        <v>1</v>
      </c>
      <c r="K301" s="34"/>
    </row>
    <row r="302" spans="1:75" ht="15" customHeight="1">
      <c r="A302" s="17"/>
      <c r="C302" s="7" t="s">
        <v>259</v>
      </c>
      <c r="D302" s="7" t="s">
        <v>469</v>
      </c>
      <c r="F302" s="52">
        <v>1</v>
      </c>
      <c r="K302" s="34"/>
    </row>
    <row r="303" spans="1:75" ht="15" customHeight="1">
      <c r="A303" s="17"/>
      <c r="C303" s="7" t="s">
        <v>476</v>
      </c>
      <c r="D303" s="7" t="s">
        <v>469</v>
      </c>
      <c r="F303" s="52">
        <v>1</v>
      </c>
      <c r="K303" s="34"/>
    </row>
    <row r="304" spans="1:75" ht="13.5" customHeight="1">
      <c r="A304" s="26" t="s">
        <v>522</v>
      </c>
      <c r="B304" s="46" t="s">
        <v>699</v>
      </c>
      <c r="C304" s="66" t="s">
        <v>751</v>
      </c>
      <c r="D304" s="63"/>
      <c r="E304" s="46" t="s">
        <v>182</v>
      </c>
      <c r="F304" s="41">
        <v>1</v>
      </c>
      <c r="G304" s="41">
        <v>0</v>
      </c>
      <c r="H304" s="41">
        <f>F304*AO304</f>
        <v>0</v>
      </c>
      <c r="I304" s="41">
        <f>F304*AP304</f>
        <v>0</v>
      </c>
      <c r="J304" s="41">
        <f>F304*G304</f>
        <v>0</v>
      </c>
      <c r="K304" s="13" t="s">
        <v>469</v>
      </c>
      <c r="Z304" s="41">
        <f>IF(AQ304="5",BJ304,0)</f>
        <v>0</v>
      </c>
      <c r="AB304" s="41">
        <f>IF(AQ304="1",BH304,0)</f>
        <v>0</v>
      </c>
      <c r="AC304" s="41">
        <f>IF(AQ304="1",BI304,0)</f>
        <v>0</v>
      </c>
      <c r="AD304" s="41">
        <f>IF(AQ304="7",BH304,0)</f>
        <v>0</v>
      </c>
      <c r="AE304" s="41">
        <f>IF(AQ304="7",BI304,0)</f>
        <v>0</v>
      </c>
      <c r="AF304" s="41">
        <f>IF(AQ304="2",BH304,0)</f>
        <v>0</v>
      </c>
      <c r="AG304" s="41">
        <f>IF(AQ304="2",BI304,0)</f>
        <v>0</v>
      </c>
      <c r="AH304" s="41">
        <f>IF(AQ304="0",BJ304,0)</f>
        <v>0</v>
      </c>
      <c r="AI304" s="8" t="s">
        <v>469</v>
      </c>
      <c r="AJ304" s="41">
        <f>IF(AN304=0,J304,0)</f>
        <v>0</v>
      </c>
      <c r="AK304" s="41">
        <f>IF(AN304=12,J304,0)</f>
        <v>0</v>
      </c>
      <c r="AL304" s="41">
        <f>IF(AN304=21,J304,0)</f>
        <v>0</v>
      </c>
      <c r="AN304" s="41">
        <v>12</v>
      </c>
      <c r="AO304" s="41">
        <f>G304*1</f>
        <v>0</v>
      </c>
      <c r="AP304" s="41">
        <f>G304*(1-1)</f>
        <v>0</v>
      </c>
      <c r="AQ304" s="38" t="s">
        <v>665</v>
      </c>
      <c r="AV304" s="41">
        <f>AW304+AX304</f>
        <v>0</v>
      </c>
      <c r="AW304" s="41">
        <f>F304*AO304</f>
        <v>0</v>
      </c>
      <c r="AX304" s="41">
        <f>F304*AP304</f>
        <v>0</v>
      </c>
      <c r="AY304" s="38" t="s">
        <v>86</v>
      </c>
      <c r="AZ304" s="38" t="s">
        <v>373</v>
      </c>
      <c r="BA304" s="8" t="s">
        <v>518</v>
      </c>
      <c r="BC304" s="41">
        <f>AW304+AX304</f>
        <v>0</v>
      </c>
      <c r="BD304" s="41">
        <f>G304/(100-BE304)*100</f>
        <v>0</v>
      </c>
      <c r="BE304" s="41">
        <v>0</v>
      </c>
      <c r="BF304" s="41">
        <f>304</f>
        <v>304</v>
      </c>
      <c r="BH304" s="41">
        <f>F304*AO304</f>
        <v>0</v>
      </c>
      <c r="BI304" s="41">
        <f>F304*AP304</f>
        <v>0</v>
      </c>
      <c r="BJ304" s="41">
        <f>F304*G304</f>
        <v>0</v>
      </c>
      <c r="BK304" s="41"/>
      <c r="BL304" s="41">
        <v>766</v>
      </c>
      <c r="BW304" s="41">
        <v>12</v>
      </c>
    </row>
    <row r="305" spans="1:75" ht="15" customHeight="1">
      <c r="A305" s="17"/>
      <c r="C305" s="7" t="s">
        <v>741</v>
      </c>
      <c r="D305" s="7" t="s">
        <v>469</v>
      </c>
      <c r="F305" s="52">
        <v>1</v>
      </c>
      <c r="K305" s="34"/>
    </row>
    <row r="306" spans="1:75" ht="13.5" customHeight="1">
      <c r="A306" s="26" t="s">
        <v>416</v>
      </c>
      <c r="B306" s="46" t="s">
        <v>398</v>
      </c>
      <c r="C306" s="66" t="s">
        <v>659</v>
      </c>
      <c r="D306" s="63"/>
      <c r="E306" s="46" t="s">
        <v>182</v>
      </c>
      <c r="F306" s="41">
        <v>1</v>
      </c>
      <c r="G306" s="41">
        <v>0</v>
      </c>
      <c r="H306" s="41">
        <f>F306*AO306</f>
        <v>0</v>
      </c>
      <c r="I306" s="41">
        <f>F306*AP306</f>
        <v>0</v>
      </c>
      <c r="J306" s="41">
        <f>F306*G306</f>
        <v>0</v>
      </c>
      <c r="K306" s="13" t="s">
        <v>469</v>
      </c>
      <c r="Z306" s="41">
        <f>IF(AQ306="5",BJ306,0)</f>
        <v>0</v>
      </c>
      <c r="AB306" s="41">
        <f>IF(AQ306="1",BH306,0)</f>
        <v>0</v>
      </c>
      <c r="AC306" s="41">
        <f>IF(AQ306="1",BI306,0)</f>
        <v>0</v>
      </c>
      <c r="AD306" s="41">
        <f>IF(AQ306="7",BH306,0)</f>
        <v>0</v>
      </c>
      <c r="AE306" s="41">
        <f>IF(AQ306="7",BI306,0)</f>
        <v>0</v>
      </c>
      <c r="AF306" s="41">
        <f>IF(AQ306="2",BH306,0)</f>
        <v>0</v>
      </c>
      <c r="AG306" s="41">
        <f>IF(AQ306="2",BI306,0)</f>
        <v>0</v>
      </c>
      <c r="AH306" s="41">
        <f>IF(AQ306="0",BJ306,0)</f>
        <v>0</v>
      </c>
      <c r="AI306" s="8" t="s">
        <v>469</v>
      </c>
      <c r="AJ306" s="41">
        <f>IF(AN306=0,J306,0)</f>
        <v>0</v>
      </c>
      <c r="AK306" s="41">
        <f>IF(AN306=12,J306,0)</f>
        <v>0</v>
      </c>
      <c r="AL306" s="41">
        <f>IF(AN306=21,J306,0)</f>
        <v>0</v>
      </c>
      <c r="AN306" s="41">
        <v>12</v>
      </c>
      <c r="AO306" s="41">
        <f>G306*1</f>
        <v>0</v>
      </c>
      <c r="AP306" s="41">
        <f>G306*(1-1)</f>
        <v>0</v>
      </c>
      <c r="AQ306" s="38" t="s">
        <v>665</v>
      </c>
      <c r="AV306" s="41">
        <f>AW306+AX306</f>
        <v>0</v>
      </c>
      <c r="AW306" s="41">
        <f>F306*AO306</f>
        <v>0</v>
      </c>
      <c r="AX306" s="41">
        <f>F306*AP306</f>
        <v>0</v>
      </c>
      <c r="AY306" s="38" t="s">
        <v>86</v>
      </c>
      <c r="AZ306" s="38" t="s">
        <v>373</v>
      </c>
      <c r="BA306" s="8" t="s">
        <v>518</v>
      </c>
      <c r="BC306" s="41">
        <f>AW306+AX306</f>
        <v>0</v>
      </c>
      <c r="BD306" s="41">
        <f>G306/(100-BE306)*100</f>
        <v>0</v>
      </c>
      <c r="BE306" s="41">
        <v>0</v>
      </c>
      <c r="BF306" s="41">
        <f>306</f>
        <v>306</v>
      </c>
      <c r="BH306" s="41">
        <f>F306*AO306</f>
        <v>0</v>
      </c>
      <c r="BI306" s="41">
        <f>F306*AP306</f>
        <v>0</v>
      </c>
      <c r="BJ306" s="41">
        <f>F306*G306</f>
        <v>0</v>
      </c>
      <c r="BK306" s="41"/>
      <c r="BL306" s="41">
        <v>766</v>
      </c>
      <c r="BW306" s="41">
        <v>12</v>
      </c>
    </row>
    <row r="307" spans="1:75" ht="15" customHeight="1">
      <c r="A307" s="17"/>
      <c r="C307" s="7" t="s">
        <v>214</v>
      </c>
      <c r="D307" s="7" t="s">
        <v>469</v>
      </c>
      <c r="F307" s="52">
        <v>1</v>
      </c>
      <c r="K307" s="34"/>
    </row>
    <row r="308" spans="1:75" ht="13.5" customHeight="1">
      <c r="A308" s="26" t="s">
        <v>671</v>
      </c>
      <c r="B308" s="46" t="s">
        <v>500</v>
      </c>
      <c r="C308" s="66" t="s">
        <v>304</v>
      </c>
      <c r="D308" s="63"/>
      <c r="E308" s="46" t="s">
        <v>182</v>
      </c>
      <c r="F308" s="41">
        <v>1</v>
      </c>
      <c r="G308" s="41">
        <v>0</v>
      </c>
      <c r="H308" s="41">
        <f>F308*AO308</f>
        <v>0</v>
      </c>
      <c r="I308" s="41">
        <f>F308*AP308</f>
        <v>0</v>
      </c>
      <c r="J308" s="41">
        <f>F308*G308</f>
        <v>0</v>
      </c>
      <c r="K308" s="13" t="s">
        <v>469</v>
      </c>
      <c r="Z308" s="41">
        <f>IF(AQ308="5",BJ308,0)</f>
        <v>0</v>
      </c>
      <c r="AB308" s="41">
        <f>IF(AQ308="1",BH308,0)</f>
        <v>0</v>
      </c>
      <c r="AC308" s="41">
        <f>IF(AQ308="1",BI308,0)</f>
        <v>0</v>
      </c>
      <c r="AD308" s="41">
        <f>IF(AQ308="7",BH308,0)</f>
        <v>0</v>
      </c>
      <c r="AE308" s="41">
        <f>IF(AQ308="7",BI308,0)</f>
        <v>0</v>
      </c>
      <c r="AF308" s="41">
        <f>IF(AQ308="2",BH308,0)</f>
        <v>0</v>
      </c>
      <c r="AG308" s="41">
        <f>IF(AQ308="2",BI308,0)</f>
        <v>0</v>
      </c>
      <c r="AH308" s="41">
        <f>IF(AQ308="0",BJ308,0)</f>
        <v>0</v>
      </c>
      <c r="AI308" s="8" t="s">
        <v>469</v>
      </c>
      <c r="AJ308" s="41">
        <f>IF(AN308=0,J308,0)</f>
        <v>0</v>
      </c>
      <c r="AK308" s="41">
        <f>IF(AN308=12,J308,0)</f>
        <v>0</v>
      </c>
      <c r="AL308" s="41">
        <f>IF(AN308=21,J308,0)</f>
        <v>0</v>
      </c>
      <c r="AN308" s="41">
        <v>12</v>
      </c>
      <c r="AO308" s="41">
        <f>G308*1</f>
        <v>0</v>
      </c>
      <c r="AP308" s="41">
        <f>G308*(1-1)</f>
        <v>0</v>
      </c>
      <c r="AQ308" s="38" t="s">
        <v>665</v>
      </c>
      <c r="AV308" s="41">
        <f>AW308+AX308</f>
        <v>0</v>
      </c>
      <c r="AW308" s="41">
        <f>F308*AO308</f>
        <v>0</v>
      </c>
      <c r="AX308" s="41">
        <f>F308*AP308</f>
        <v>0</v>
      </c>
      <c r="AY308" s="38" t="s">
        <v>86</v>
      </c>
      <c r="AZ308" s="38" t="s">
        <v>373</v>
      </c>
      <c r="BA308" s="8" t="s">
        <v>518</v>
      </c>
      <c r="BC308" s="41">
        <f>AW308+AX308</f>
        <v>0</v>
      </c>
      <c r="BD308" s="41">
        <f>G308/(100-BE308)*100</f>
        <v>0</v>
      </c>
      <c r="BE308" s="41">
        <v>0</v>
      </c>
      <c r="BF308" s="41">
        <f>308</f>
        <v>308</v>
      </c>
      <c r="BH308" s="41">
        <f>F308*AO308</f>
        <v>0</v>
      </c>
      <c r="BI308" s="41">
        <f>F308*AP308</f>
        <v>0</v>
      </c>
      <c r="BJ308" s="41">
        <f>F308*G308</f>
        <v>0</v>
      </c>
      <c r="BK308" s="41"/>
      <c r="BL308" s="41">
        <v>766</v>
      </c>
      <c r="BW308" s="41">
        <v>12</v>
      </c>
    </row>
    <row r="309" spans="1:75" ht="15" customHeight="1">
      <c r="A309" s="17"/>
      <c r="C309" s="7" t="s">
        <v>622</v>
      </c>
      <c r="D309" s="7" t="s">
        <v>469</v>
      </c>
      <c r="F309" s="52">
        <v>1</v>
      </c>
      <c r="K309" s="34"/>
    </row>
    <row r="310" spans="1:75" ht="13.5" customHeight="1">
      <c r="A310" s="26" t="s">
        <v>615</v>
      </c>
      <c r="B310" s="46" t="s">
        <v>401</v>
      </c>
      <c r="C310" s="66" t="s">
        <v>735</v>
      </c>
      <c r="D310" s="63"/>
      <c r="E310" s="46" t="s">
        <v>182</v>
      </c>
      <c r="F310" s="41">
        <v>1</v>
      </c>
      <c r="G310" s="41">
        <v>0</v>
      </c>
      <c r="H310" s="41">
        <f>F310*AO310</f>
        <v>0</v>
      </c>
      <c r="I310" s="41">
        <f>F310*AP310</f>
        <v>0</v>
      </c>
      <c r="J310" s="41">
        <f>F310*G310</f>
        <v>0</v>
      </c>
      <c r="K310" s="13" t="s">
        <v>469</v>
      </c>
      <c r="Z310" s="41">
        <f>IF(AQ310="5",BJ310,0)</f>
        <v>0</v>
      </c>
      <c r="AB310" s="41">
        <f>IF(AQ310="1",BH310,0)</f>
        <v>0</v>
      </c>
      <c r="AC310" s="41">
        <f>IF(AQ310="1",BI310,0)</f>
        <v>0</v>
      </c>
      <c r="AD310" s="41">
        <f>IF(AQ310="7",BH310,0)</f>
        <v>0</v>
      </c>
      <c r="AE310" s="41">
        <f>IF(AQ310="7",BI310,0)</f>
        <v>0</v>
      </c>
      <c r="AF310" s="41">
        <f>IF(AQ310="2",BH310,0)</f>
        <v>0</v>
      </c>
      <c r="AG310" s="41">
        <f>IF(AQ310="2",BI310,0)</f>
        <v>0</v>
      </c>
      <c r="AH310" s="41">
        <f>IF(AQ310="0",BJ310,0)</f>
        <v>0</v>
      </c>
      <c r="AI310" s="8" t="s">
        <v>469</v>
      </c>
      <c r="AJ310" s="41">
        <f>IF(AN310=0,J310,0)</f>
        <v>0</v>
      </c>
      <c r="AK310" s="41">
        <f>IF(AN310=12,J310,0)</f>
        <v>0</v>
      </c>
      <c r="AL310" s="41">
        <f>IF(AN310=21,J310,0)</f>
        <v>0</v>
      </c>
      <c r="AN310" s="41">
        <v>12</v>
      </c>
      <c r="AO310" s="41">
        <f>G310*1</f>
        <v>0</v>
      </c>
      <c r="AP310" s="41">
        <f>G310*(1-1)</f>
        <v>0</v>
      </c>
      <c r="AQ310" s="38" t="s">
        <v>665</v>
      </c>
      <c r="AV310" s="41">
        <f>AW310+AX310</f>
        <v>0</v>
      </c>
      <c r="AW310" s="41">
        <f>F310*AO310</f>
        <v>0</v>
      </c>
      <c r="AX310" s="41">
        <f>F310*AP310</f>
        <v>0</v>
      </c>
      <c r="AY310" s="38" t="s">
        <v>86</v>
      </c>
      <c r="AZ310" s="38" t="s">
        <v>373</v>
      </c>
      <c r="BA310" s="8" t="s">
        <v>518</v>
      </c>
      <c r="BC310" s="41">
        <f>AW310+AX310</f>
        <v>0</v>
      </c>
      <c r="BD310" s="41">
        <f>G310/(100-BE310)*100</f>
        <v>0</v>
      </c>
      <c r="BE310" s="41">
        <v>0</v>
      </c>
      <c r="BF310" s="41">
        <f>310</f>
        <v>310</v>
      </c>
      <c r="BH310" s="41">
        <f>F310*AO310</f>
        <v>0</v>
      </c>
      <c r="BI310" s="41">
        <f>F310*AP310</f>
        <v>0</v>
      </c>
      <c r="BJ310" s="41">
        <f>F310*G310</f>
        <v>0</v>
      </c>
      <c r="BK310" s="41"/>
      <c r="BL310" s="41">
        <v>766</v>
      </c>
      <c r="BW310" s="41">
        <v>12</v>
      </c>
    </row>
    <row r="311" spans="1:75" ht="15" customHeight="1">
      <c r="A311" s="17"/>
      <c r="C311" s="7" t="s">
        <v>498</v>
      </c>
      <c r="D311" s="7" t="s">
        <v>469</v>
      </c>
      <c r="F311" s="52">
        <v>1</v>
      </c>
      <c r="K311" s="34"/>
    </row>
    <row r="312" spans="1:75" ht="13.5" customHeight="1">
      <c r="A312" s="26" t="s">
        <v>453</v>
      </c>
      <c r="B312" s="46" t="s">
        <v>740</v>
      </c>
      <c r="C312" s="66" t="s">
        <v>338</v>
      </c>
      <c r="D312" s="63"/>
      <c r="E312" s="46" t="s">
        <v>182</v>
      </c>
      <c r="F312" s="41">
        <v>1</v>
      </c>
      <c r="G312" s="41">
        <v>0</v>
      </c>
      <c r="H312" s="41">
        <f>F312*AO312</f>
        <v>0</v>
      </c>
      <c r="I312" s="41">
        <f>F312*AP312</f>
        <v>0</v>
      </c>
      <c r="J312" s="41">
        <f>F312*G312</f>
        <v>0</v>
      </c>
      <c r="K312" s="13" t="s">
        <v>469</v>
      </c>
      <c r="Z312" s="41">
        <f>IF(AQ312="5",BJ312,0)</f>
        <v>0</v>
      </c>
      <c r="AB312" s="41">
        <f>IF(AQ312="1",BH312,0)</f>
        <v>0</v>
      </c>
      <c r="AC312" s="41">
        <f>IF(AQ312="1",BI312,0)</f>
        <v>0</v>
      </c>
      <c r="AD312" s="41">
        <f>IF(AQ312="7",BH312,0)</f>
        <v>0</v>
      </c>
      <c r="AE312" s="41">
        <f>IF(AQ312="7",BI312,0)</f>
        <v>0</v>
      </c>
      <c r="AF312" s="41">
        <f>IF(AQ312="2",BH312,0)</f>
        <v>0</v>
      </c>
      <c r="AG312" s="41">
        <f>IF(AQ312="2",BI312,0)</f>
        <v>0</v>
      </c>
      <c r="AH312" s="41">
        <f>IF(AQ312="0",BJ312,0)</f>
        <v>0</v>
      </c>
      <c r="AI312" s="8" t="s">
        <v>469</v>
      </c>
      <c r="AJ312" s="41">
        <f>IF(AN312=0,J312,0)</f>
        <v>0</v>
      </c>
      <c r="AK312" s="41">
        <f>IF(AN312=12,J312,0)</f>
        <v>0</v>
      </c>
      <c r="AL312" s="41">
        <f>IF(AN312=21,J312,0)</f>
        <v>0</v>
      </c>
      <c r="AN312" s="41">
        <v>12</v>
      </c>
      <c r="AO312" s="41">
        <f>G312*1</f>
        <v>0</v>
      </c>
      <c r="AP312" s="41">
        <f>G312*(1-1)</f>
        <v>0</v>
      </c>
      <c r="AQ312" s="38" t="s">
        <v>665</v>
      </c>
      <c r="AV312" s="41">
        <f>AW312+AX312</f>
        <v>0</v>
      </c>
      <c r="AW312" s="41">
        <f>F312*AO312</f>
        <v>0</v>
      </c>
      <c r="AX312" s="41">
        <f>F312*AP312</f>
        <v>0</v>
      </c>
      <c r="AY312" s="38" t="s">
        <v>86</v>
      </c>
      <c r="AZ312" s="38" t="s">
        <v>373</v>
      </c>
      <c r="BA312" s="8" t="s">
        <v>518</v>
      </c>
      <c r="BC312" s="41">
        <f>AW312+AX312</f>
        <v>0</v>
      </c>
      <c r="BD312" s="41">
        <f>G312/(100-BE312)*100</f>
        <v>0</v>
      </c>
      <c r="BE312" s="41">
        <v>0</v>
      </c>
      <c r="BF312" s="41">
        <f>312</f>
        <v>312</v>
      </c>
      <c r="BH312" s="41">
        <f>F312*AO312</f>
        <v>0</v>
      </c>
      <c r="BI312" s="41">
        <f>F312*AP312</f>
        <v>0</v>
      </c>
      <c r="BJ312" s="41">
        <f>F312*G312</f>
        <v>0</v>
      </c>
      <c r="BK312" s="41"/>
      <c r="BL312" s="41">
        <v>766</v>
      </c>
      <c r="BW312" s="41">
        <v>12</v>
      </c>
    </row>
    <row r="313" spans="1:75" ht="15" customHeight="1">
      <c r="A313" s="17"/>
      <c r="C313" s="7" t="s">
        <v>259</v>
      </c>
      <c r="D313" s="7" t="s">
        <v>469</v>
      </c>
      <c r="F313" s="52">
        <v>1</v>
      </c>
      <c r="K313" s="34"/>
    </row>
    <row r="314" spans="1:75" ht="13.5" customHeight="1">
      <c r="A314" s="26" t="s">
        <v>357</v>
      </c>
      <c r="B314" s="46" t="s">
        <v>499</v>
      </c>
      <c r="C314" s="66" t="s">
        <v>82</v>
      </c>
      <c r="D314" s="63"/>
      <c r="E314" s="46" t="s">
        <v>182</v>
      </c>
      <c r="F314" s="41">
        <v>1</v>
      </c>
      <c r="G314" s="41">
        <v>0</v>
      </c>
      <c r="H314" s="41">
        <f>F314*AO314</f>
        <v>0</v>
      </c>
      <c r="I314" s="41">
        <f>F314*AP314</f>
        <v>0</v>
      </c>
      <c r="J314" s="41">
        <f>F314*G314</f>
        <v>0</v>
      </c>
      <c r="K314" s="13" t="s">
        <v>469</v>
      </c>
      <c r="Z314" s="41">
        <f>IF(AQ314="5",BJ314,0)</f>
        <v>0</v>
      </c>
      <c r="AB314" s="41">
        <f>IF(AQ314="1",BH314,0)</f>
        <v>0</v>
      </c>
      <c r="AC314" s="41">
        <f>IF(AQ314="1",BI314,0)</f>
        <v>0</v>
      </c>
      <c r="AD314" s="41">
        <f>IF(AQ314="7",BH314,0)</f>
        <v>0</v>
      </c>
      <c r="AE314" s="41">
        <f>IF(AQ314="7",BI314,0)</f>
        <v>0</v>
      </c>
      <c r="AF314" s="41">
        <f>IF(AQ314="2",BH314,0)</f>
        <v>0</v>
      </c>
      <c r="AG314" s="41">
        <f>IF(AQ314="2",BI314,0)</f>
        <v>0</v>
      </c>
      <c r="AH314" s="41">
        <f>IF(AQ314="0",BJ314,0)</f>
        <v>0</v>
      </c>
      <c r="AI314" s="8" t="s">
        <v>469</v>
      </c>
      <c r="AJ314" s="41">
        <f>IF(AN314=0,J314,0)</f>
        <v>0</v>
      </c>
      <c r="AK314" s="41">
        <f>IF(AN314=12,J314,0)</f>
        <v>0</v>
      </c>
      <c r="AL314" s="41">
        <f>IF(AN314=21,J314,0)</f>
        <v>0</v>
      </c>
      <c r="AN314" s="41">
        <v>12</v>
      </c>
      <c r="AO314" s="41">
        <f>G314*1</f>
        <v>0</v>
      </c>
      <c r="AP314" s="41">
        <f>G314*(1-1)</f>
        <v>0</v>
      </c>
      <c r="AQ314" s="38" t="s">
        <v>665</v>
      </c>
      <c r="AV314" s="41">
        <f>AW314+AX314</f>
        <v>0</v>
      </c>
      <c r="AW314" s="41">
        <f>F314*AO314</f>
        <v>0</v>
      </c>
      <c r="AX314" s="41">
        <f>F314*AP314</f>
        <v>0</v>
      </c>
      <c r="AY314" s="38" t="s">
        <v>86</v>
      </c>
      <c r="AZ314" s="38" t="s">
        <v>373</v>
      </c>
      <c r="BA314" s="8" t="s">
        <v>518</v>
      </c>
      <c r="BC314" s="41">
        <f>AW314+AX314</f>
        <v>0</v>
      </c>
      <c r="BD314" s="41">
        <f>G314/(100-BE314)*100</f>
        <v>0</v>
      </c>
      <c r="BE314" s="41">
        <v>0</v>
      </c>
      <c r="BF314" s="41">
        <f>314</f>
        <v>314</v>
      </c>
      <c r="BH314" s="41">
        <f>F314*AO314</f>
        <v>0</v>
      </c>
      <c r="BI314" s="41">
        <f>F314*AP314</f>
        <v>0</v>
      </c>
      <c r="BJ314" s="41">
        <f>F314*G314</f>
        <v>0</v>
      </c>
      <c r="BK314" s="41"/>
      <c r="BL314" s="41">
        <v>766</v>
      </c>
      <c r="BW314" s="41">
        <v>12</v>
      </c>
    </row>
    <row r="315" spans="1:75" ht="15" customHeight="1">
      <c r="A315" s="17"/>
      <c r="C315" s="7" t="s">
        <v>476</v>
      </c>
      <c r="D315" s="7" t="s">
        <v>469</v>
      </c>
      <c r="F315" s="52">
        <v>1</v>
      </c>
      <c r="K315" s="34"/>
    </row>
    <row r="316" spans="1:75" ht="13.5" customHeight="1">
      <c r="A316" s="26" t="s">
        <v>164</v>
      </c>
      <c r="B316" s="46" t="s">
        <v>579</v>
      </c>
      <c r="C316" s="66" t="s">
        <v>151</v>
      </c>
      <c r="D316" s="63"/>
      <c r="E316" s="46" t="s">
        <v>182</v>
      </c>
      <c r="F316" s="41">
        <v>3</v>
      </c>
      <c r="G316" s="41">
        <v>0</v>
      </c>
      <c r="H316" s="41">
        <f>F316*AO316</f>
        <v>0</v>
      </c>
      <c r="I316" s="41">
        <f>F316*AP316</f>
        <v>0</v>
      </c>
      <c r="J316" s="41">
        <f>F316*G316</f>
        <v>0</v>
      </c>
      <c r="K316" s="13" t="s">
        <v>313</v>
      </c>
      <c r="Z316" s="41">
        <f>IF(AQ316="5",BJ316,0)</f>
        <v>0</v>
      </c>
      <c r="AB316" s="41">
        <f>IF(AQ316="1",BH316,0)</f>
        <v>0</v>
      </c>
      <c r="AC316" s="41">
        <f>IF(AQ316="1",BI316,0)</f>
        <v>0</v>
      </c>
      <c r="AD316" s="41">
        <f>IF(AQ316="7",BH316,0)</f>
        <v>0</v>
      </c>
      <c r="AE316" s="41">
        <f>IF(AQ316="7",BI316,0)</f>
        <v>0</v>
      </c>
      <c r="AF316" s="41">
        <f>IF(AQ316="2",BH316,0)</f>
        <v>0</v>
      </c>
      <c r="AG316" s="41">
        <f>IF(AQ316="2",BI316,0)</f>
        <v>0</v>
      </c>
      <c r="AH316" s="41">
        <f>IF(AQ316="0",BJ316,0)</f>
        <v>0</v>
      </c>
      <c r="AI316" s="8" t="s">
        <v>469</v>
      </c>
      <c r="AJ316" s="41">
        <f>IF(AN316=0,J316,0)</f>
        <v>0</v>
      </c>
      <c r="AK316" s="41">
        <f>IF(AN316=12,J316,0)</f>
        <v>0</v>
      </c>
      <c r="AL316" s="41">
        <f>IF(AN316=21,J316,0)</f>
        <v>0</v>
      </c>
      <c r="AN316" s="41">
        <v>12</v>
      </c>
      <c r="AO316" s="41">
        <f>G316*0.144127551020408</f>
        <v>0</v>
      </c>
      <c r="AP316" s="41">
        <f>G316*(1-0.144127551020408)</f>
        <v>0</v>
      </c>
      <c r="AQ316" s="38" t="s">
        <v>665</v>
      </c>
      <c r="AV316" s="41">
        <f>AW316+AX316</f>
        <v>0</v>
      </c>
      <c r="AW316" s="41">
        <f>F316*AO316</f>
        <v>0</v>
      </c>
      <c r="AX316" s="41">
        <f>F316*AP316</f>
        <v>0</v>
      </c>
      <c r="AY316" s="38" t="s">
        <v>86</v>
      </c>
      <c r="AZ316" s="38" t="s">
        <v>373</v>
      </c>
      <c r="BA316" s="8" t="s">
        <v>518</v>
      </c>
      <c r="BC316" s="41">
        <f>AW316+AX316</f>
        <v>0</v>
      </c>
      <c r="BD316" s="41">
        <f>G316/(100-BE316)*100</f>
        <v>0</v>
      </c>
      <c r="BE316" s="41">
        <v>0</v>
      </c>
      <c r="BF316" s="41">
        <f>316</f>
        <v>316</v>
      </c>
      <c r="BH316" s="41">
        <f>F316*AO316</f>
        <v>0</v>
      </c>
      <c r="BI316" s="41">
        <f>F316*AP316</f>
        <v>0</v>
      </c>
      <c r="BJ316" s="41">
        <f>F316*G316</f>
        <v>0</v>
      </c>
      <c r="BK316" s="41"/>
      <c r="BL316" s="41">
        <v>766</v>
      </c>
      <c r="BW316" s="41">
        <v>12</v>
      </c>
    </row>
    <row r="317" spans="1:75" ht="15" customHeight="1">
      <c r="A317" s="17"/>
      <c r="C317" s="7" t="s">
        <v>408</v>
      </c>
      <c r="D317" s="7" t="s">
        <v>469</v>
      </c>
      <c r="F317" s="52">
        <v>1</v>
      </c>
      <c r="K317" s="34"/>
    </row>
    <row r="318" spans="1:75" ht="15" customHeight="1">
      <c r="A318" s="17"/>
      <c r="C318" s="7" t="s">
        <v>311</v>
      </c>
      <c r="D318" s="7" t="s">
        <v>469</v>
      </c>
      <c r="F318" s="52">
        <v>1</v>
      </c>
      <c r="K318" s="34"/>
    </row>
    <row r="319" spans="1:75" ht="15" customHeight="1">
      <c r="A319" s="17"/>
      <c r="C319" s="7" t="s">
        <v>459</v>
      </c>
      <c r="D319" s="7" t="s">
        <v>469</v>
      </c>
      <c r="F319" s="52">
        <v>1</v>
      </c>
      <c r="K319" s="34"/>
    </row>
    <row r="320" spans="1:75" ht="13.5" customHeight="1">
      <c r="A320" s="26" t="s">
        <v>71</v>
      </c>
      <c r="B320" s="46" t="s">
        <v>463</v>
      </c>
      <c r="C320" s="66" t="s">
        <v>171</v>
      </c>
      <c r="D320" s="63"/>
      <c r="E320" s="46" t="s">
        <v>182</v>
      </c>
      <c r="F320" s="41">
        <v>1</v>
      </c>
      <c r="G320" s="41">
        <v>0</v>
      </c>
      <c r="H320" s="41">
        <f>F320*AO320</f>
        <v>0</v>
      </c>
      <c r="I320" s="41">
        <f>F320*AP320</f>
        <v>0</v>
      </c>
      <c r="J320" s="41">
        <f>F320*G320</f>
        <v>0</v>
      </c>
      <c r="K320" s="13" t="s">
        <v>469</v>
      </c>
      <c r="Z320" s="41">
        <f>IF(AQ320="5",BJ320,0)</f>
        <v>0</v>
      </c>
      <c r="AB320" s="41">
        <f>IF(AQ320="1",BH320,0)</f>
        <v>0</v>
      </c>
      <c r="AC320" s="41">
        <f>IF(AQ320="1",BI320,0)</f>
        <v>0</v>
      </c>
      <c r="AD320" s="41">
        <f>IF(AQ320="7",BH320,0)</f>
        <v>0</v>
      </c>
      <c r="AE320" s="41">
        <f>IF(AQ320="7",BI320,0)</f>
        <v>0</v>
      </c>
      <c r="AF320" s="41">
        <f>IF(AQ320="2",BH320,0)</f>
        <v>0</v>
      </c>
      <c r="AG320" s="41">
        <f>IF(AQ320="2",BI320,0)</f>
        <v>0</v>
      </c>
      <c r="AH320" s="41">
        <f>IF(AQ320="0",BJ320,0)</f>
        <v>0</v>
      </c>
      <c r="AI320" s="8" t="s">
        <v>469</v>
      </c>
      <c r="AJ320" s="41">
        <f>IF(AN320=0,J320,0)</f>
        <v>0</v>
      </c>
      <c r="AK320" s="41">
        <f>IF(AN320=12,J320,0)</f>
        <v>0</v>
      </c>
      <c r="AL320" s="41">
        <f>IF(AN320=21,J320,0)</f>
        <v>0</v>
      </c>
      <c r="AN320" s="41">
        <v>12</v>
      </c>
      <c r="AO320" s="41">
        <f>G320*1</f>
        <v>0</v>
      </c>
      <c r="AP320" s="41">
        <f>G320*(1-1)</f>
        <v>0</v>
      </c>
      <c r="AQ320" s="38" t="s">
        <v>665</v>
      </c>
      <c r="AV320" s="41">
        <f>AW320+AX320</f>
        <v>0</v>
      </c>
      <c r="AW320" s="41">
        <f>F320*AO320</f>
        <v>0</v>
      </c>
      <c r="AX320" s="41">
        <f>F320*AP320</f>
        <v>0</v>
      </c>
      <c r="AY320" s="38" t="s">
        <v>86</v>
      </c>
      <c r="AZ320" s="38" t="s">
        <v>373</v>
      </c>
      <c r="BA320" s="8" t="s">
        <v>518</v>
      </c>
      <c r="BC320" s="41">
        <f>AW320+AX320</f>
        <v>0</v>
      </c>
      <c r="BD320" s="41">
        <f>G320/(100-BE320)*100</f>
        <v>0</v>
      </c>
      <c r="BE320" s="41">
        <v>0</v>
      </c>
      <c r="BF320" s="41">
        <f>320</f>
        <v>320</v>
      </c>
      <c r="BH320" s="41">
        <f>F320*AO320</f>
        <v>0</v>
      </c>
      <c r="BI320" s="41">
        <f>F320*AP320</f>
        <v>0</v>
      </c>
      <c r="BJ320" s="41">
        <f>F320*G320</f>
        <v>0</v>
      </c>
      <c r="BK320" s="41"/>
      <c r="BL320" s="41">
        <v>766</v>
      </c>
      <c r="BW320" s="41">
        <v>12</v>
      </c>
    </row>
    <row r="321" spans="1:75" ht="15" customHeight="1">
      <c r="A321" s="17"/>
      <c r="C321" s="7" t="s">
        <v>408</v>
      </c>
      <c r="D321" s="7" t="s">
        <v>469</v>
      </c>
      <c r="F321" s="52">
        <v>1</v>
      </c>
      <c r="K321" s="34"/>
    </row>
    <row r="322" spans="1:75" ht="13.5" customHeight="1">
      <c r="A322" s="26" t="s">
        <v>653</v>
      </c>
      <c r="B322" s="46" t="s">
        <v>161</v>
      </c>
      <c r="C322" s="66" t="s">
        <v>608</v>
      </c>
      <c r="D322" s="63"/>
      <c r="E322" s="46" t="s">
        <v>182</v>
      </c>
      <c r="F322" s="41">
        <v>1</v>
      </c>
      <c r="G322" s="41">
        <v>0</v>
      </c>
      <c r="H322" s="41">
        <f>F322*AO322</f>
        <v>0</v>
      </c>
      <c r="I322" s="41">
        <f>F322*AP322</f>
        <v>0</v>
      </c>
      <c r="J322" s="41">
        <f>F322*G322</f>
        <v>0</v>
      </c>
      <c r="K322" s="13" t="s">
        <v>469</v>
      </c>
      <c r="Z322" s="41">
        <f>IF(AQ322="5",BJ322,0)</f>
        <v>0</v>
      </c>
      <c r="AB322" s="41">
        <f>IF(AQ322="1",BH322,0)</f>
        <v>0</v>
      </c>
      <c r="AC322" s="41">
        <f>IF(AQ322="1",BI322,0)</f>
        <v>0</v>
      </c>
      <c r="AD322" s="41">
        <f>IF(AQ322="7",BH322,0)</f>
        <v>0</v>
      </c>
      <c r="AE322" s="41">
        <f>IF(AQ322="7",BI322,0)</f>
        <v>0</v>
      </c>
      <c r="AF322" s="41">
        <f>IF(AQ322="2",BH322,0)</f>
        <v>0</v>
      </c>
      <c r="AG322" s="41">
        <f>IF(AQ322="2",BI322,0)</f>
        <v>0</v>
      </c>
      <c r="AH322" s="41">
        <f>IF(AQ322="0",BJ322,0)</f>
        <v>0</v>
      </c>
      <c r="AI322" s="8" t="s">
        <v>469</v>
      </c>
      <c r="AJ322" s="41">
        <f>IF(AN322=0,J322,0)</f>
        <v>0</v>
      </c>
      <c r="AK322" s="41">
        <f>IF(AN322=12,J322,0)</f>
        <v>0</v>
      </c>
      <c r="AL322" s="41">
        <f>IF(AN322=21,J322,0)</f>
        <v>0</v>
      </c>
      <c r="AN322" s="41">
        <v>12</v>
      </c>
      <c r="AO322" s="41">
        <f>G322*1</f>
        <v>0</v>
      </c>
      <c r="AP322" s="41">
        <f>G322*(1-1)</f>
        <v>0</v>
      </c>
      <c r="AQ322" s="38" t="s">
        <v>665</v>
      </c>
      <c r="AV322" s="41">
        <f>AW322+AX322</f>
        <v>0</v>
      </c>
      <c r="AW322" s="41">
        <f>F322*AO322</f>
        <v>0</v>
      </c>
      <c r="AX322" s="41">
        <f>F322*AP322</f>
        <v>0</v>
      </c>
      <c r="AY322" s="38" t="s">
        <v>86</v>
      </c>
      <c r="AZ322" s="38" t="s">
        <v>373</v>
      </c>
      <c r="BA322" s="8" t="s">
        <v>518</v>
      </c>
      <c r="BC322" s="41">
        <f>AW322+AX322</f>
        <v>0</v>
      </c>
      <c r="BD322" s="41">
        <f>G322/(100-BE322)*100</f>
        <v>0</v>
      </c>
      <c r="BE322" s="41">
        <v>0</v>
      </c>
      <c r="BF322" s="41">
        <f>322</f>
        <v>322</v>
      </c>
      <c r="BH322" s="41">
        <f>F322*AO322</f>
        <v>0</v>
      </c>
      <c r="BI322" s="41">
        <f>F322*AP322</f>
        <v>0</v>
      </c>
      <c r="BJ322" s="41">
        <f>F322*G322</f>
        <v>0</v>
      </c>
      <c r="BK322" s="41"/>
      <c r="BL322" s="41">
        <v>766</v>
      </c>
      <c r="BW322" s="41">
        <v>12</v>
      </c>
    </row>
    <row r="323" spans="1:75" ht="15" customHeight="1">
      <c r="A323" s="17"/>
      <c r="C323" s="7" t="s">
        <v>311</v>
      </c>
      <c r="D323" s="7" t="s">
        <v>469</v>
      </c>
      <c r="F323" s="52">
        <v>1</v>
      </c>
      <c r="K323" s="34"/>
    </row>
    <row r="324" spans="1:75" ht="13.5" customHeight="1">
      <c r="A324" s="26" t="s">
        <v>127</v>
      </c>
      <c r="B324" s="46" t="s">
        <v>358</v>
      </c>
      <c r="C324" s="66" t="s">
        <v>115</v>
      </c>
      <c r="D324" s="63"/>
      <c r="E324" s="46" t="s">
        <v>182</v>
      </c>
      <c r="F324" s="41">
        <v>1</v>
      </c>
      <c r="G324" s="41">
        <v>0</v>
      </c>
      <c r="H324" s="41">
        <f>F324*AO324</f>
        <v>0</v>
      </c>
      <c r="I324" s="41">
        <f>F324*AP324</f>
        <v>0</v>
      </c>
      <c r="J324" s="41">
        <f>F324*G324</f>
        <v>0</v>
      </c>
      <c r="K324" s="13" t="s">
        <v>469</v>
      </c>
      <c r="Z324" s="41">
        <f>IF(AQ324="5",BJ324,0)</f>
        <v>0</v>
      </c>
      <c r="AB324" s="41">
        <f>IF(AQ324="1",BH324,0)</f>
        <v>0</v>
      </c>
      <c r="AC324" s="41">
        <f>IF(AQ324="1",BI324,0)</f>
        <v>0</v>
      </c>
      <c r="AD324" s="41">
        <f>IF(AQ324="7",BH324,0)</f>
        <v>0</v>
      </c>
      <c r="AE324" s="41">
        <f>IF(AQ324="7",BI324,0)</f>
        <v>0</v>
      </c>
      <c r="AF324" s="41">
        <f>IF(AQ324="2",BH324,0)</f>
        <v>0</v>
      </c>
      <c r="AG324" s="41">
        <f>IF(AQ324="2",BI324,0)</f>
        <v>0</v>
      </c>
      <c r="AH324" s="41">
        <f>IF(AQ324="0",BJ324,0)</f>
        <v>0</v>
      </c>
      <c r="AI324" s="8" t="s">
        <v>469</v>
      </c>
      <c r="AJ324" s="41">
        <f>IF(AN324=0,J324,0)</f>
        <v>0</v>
      </c>
      <c r="AK324" s="41">
        <f>IF(AN324=12,J324,0)</f>
        <v>0</v>
      </c>
      <c r="AL324" s="41">
        <f>IF(AN324=21,J324,0)</f>
        <v>0</v>
      </c>
      <c r="AN324" s="41">
        <v>12</v>
      </c>
      <c r="AO324" s="41">
        <f>G324*1</f>
        <v>0</v>
      </c>
      <c r="AP324" s="41">
        <f>G324*(1-1)</f>
        <v>0</v>
      </c>
      <c r="AQ324" s="38" t="s">
        <v>665</v>
      </c>
      <c r="AV324" s="41">
        <f>AW324+AX324</f>
        <v>0</v>
      </c>
      <c r="AW324" s="41">
        <f>F324*AO324</f>
        <v>0</v>
      </c>
      <c r="AX324" s="41">
        <f>F324*AP324</f>
        <v>0</v>
      </c>
      <c r="AY324" s="38" t="s">
        <v>86</v>
      </c>
      <c r="AZ324" s="38" t="s">
        <v>373</v>
      </c>
      <c r="BA324" s="8" t="s">
        <v>518</v>
      </c>
      <c r="BC324" s="41">
        <f>AW324+AX324</f>
        <v>0</v>
      </c>
      <c r="BD324" s="41">
        <f>G324/(100-BE324)*100</f>
        <v>0</v>
      </c>
      <c r="BE324" s="41">
        <v>0</v>
      </c>
      <c r="BF324" s="41">
        <f>324</f>
        <v>324</v>
      </c>
      <c r="BH324" s="41">
        <f>F324*AO324</f>
        <v>0</v>
      </c>
      <c r="BI324" s="41">
        <f>F324*AP324</f>
        <v>0</v>
      </c>
      <c r="BJ324" s="41">
        <f>F324*G324</f>
        <v>0</v>
      </c>
      <c r="BK324" s="41"/>
      <c r="BL324" s="41">
        <v>766</v>
      </c>
      <c r="BW324" s="41">
        <v>12</v>
      </c>
    </row>
    <row r="325" spans="1:75" ht="15" customHeight="1">
      <c r="A325" s="17"/>
      <c r="C325" s="7" t="s">
        <v>459</v>
      </c>
      <c r="D325" s="7" t="s">
        <v>469</v>
      </c>
      <c r="F325" s="52">
        <v>1</v>
      </c>
      <c r="K325" s="34"/>
    </row>
    <row r="326" spans="1:75" ht="15" customHeight="1">
      <c r="A326" s="11" t="s">
        <v>469</v>
      </c>
      <c r="B326" s="16" t="s">
        <v>314</v>
      </c>
      <c r="C326" s="79" t="s">
        <v>218</v>
      </c>
      <c r="D326" s="80"/>
      <c r="E326" s="58" t="s">
        <v>619</v>
      </c>
      <c r="F326" s="58" t="s">
        <v>619</v>
      </c>
      <c r="G326" s="58" t="s">
        <v>619</v>
      </c>
      <c r="H326" s="49">
        <f>SUM(H327:H327)</f>
        <v>0</v>
      </c>
      <c r="I326" s="49">
        <f>SUM(I327:I327)</f>
        <v>0</v>
      </c>
      <c r="J326" s="49">
        <f>SUM(J327:J327)</f>
        <v>0</v>
      </c>
      <c r="K326" s="32" t="s">
        <v>469</v>
      </c>
      <c r="AI326" s="8" t="s">
        <v>469</v>
      </c>
      <c r="AS326" s="49">
        <f>SUM(AJ327:AJ327)</f>
        <v>0</v>
      </c>
      <c r="AT326" s="49">
        <f>SUM(AK327:AK327)</f>
        <v>0</v>
      </c>
      <c r="AU326" s="49">
        <f>SUM(AL327:AL327)</f>
        <v>0</v>
      </c>
    </row>
    <row r="327" spans="1:75" ht="13.5" customHeight="1">
      <c r="A327" s="26" t="s">
        <v>136</v>
      </c>
      <c r="B327" s="46" t="s">
        <v>578</v>
      </c>
      <c r="C327" s="66" t="s">
        <v>493</v>
      </c>
      <c r="D327" s="63"/>
      <c r="E327" s="46" t="s">
        <v>625</v>
      </c>
      <c r="F327" s="41">
        <v>20.58</v>
      </c>
      <c r="G327" s="41">
        <v>0</v>
      </c>
      <c r="H327" s="41">
        <f>F327*AO327</f>
        <v>0</v>
      </c>
      <c r="I327" s="41">
        <f>F327*AP327</f>
        <v>0</v>
      </c>
      <c r="J327" s="41">
        <f>F327*G327</f>
        <v>0</v>
      </c>
      <c r="K327" s="13" t="s">
        <v>313</v>
      </c>
      <c r="Z327" s="41">
        <f>IF(AQ327="5",BJ327,0)</f>
        <v>0</v>
      </c>
      <c r="AB327" s="41">
        <f>IF(AQ327="1",BH327,0)</f>
        <v>0</v>
      </c>
      <c r="AC327" s="41">
        <f>IF(AQ327="1",BI327,0)</f>
        <v>0</v>
      </c>
      <c r="AD327" s="41">
        <f>IF(AQ327="7",BH327,0)</f>
        <v>0</v>
      </c>
      <c r="AE327" s="41">
        <f>IF(AQ327="7",BI327,0)</f>
        <v>0</v>
      </c>
      <c r="AF327" s="41">
        <f>IF(AQ327="2",BH327,0)</f>
        <v>0</v>
      </c>
      <c r="AG327" s="41">
        <f>IF(AQ327="2",BI327,0)</f>
        <v>0</v>
      </c>
      <c r="AH327" s="41">
        <f>IF(AQ327="0",BJ327,0)</f>
        <v>0</v>
      </c>
      <c r="AI327" s="8" t="s">
        <v>469</v>
      </c>
      <c r="AJ327" s="41">
        <f>IF(AN327=0,J327,0)</f>
        <v>0</v>
      </c>
      <c r="AK327" s="41">
        <f>IF(AN327=12,J327,0)</f>
        <v>0</v>
      </c>
      <c r="AL327" s="41">
        <f>IF(AN327=21,J327,0)</f>
        <v>0</v>
      </c>
      <c r="AN327" s="41">
        <v>12</v>
      </c>
      <c r="AO327" s="41">
        <f>G327*0.329041291783352</f>
        <v>0</v>
      </c>
      <c r="AP327" s="41">
        <f>G327*(1-0.329041291783352)</f>
        <v>0</v>
      </c>
      <c r="AQ327" s="38" t="s">
        <v>665</v>
      </c>
      <c r="AV327" s="41">
        <f>AW327+AX327</f>
        <v>0</v>
      </c>
      <c r="AW327" s="41">
        <f>F327*AO327</f>
        <v>0</v>
      </c>
      <c r="AX327" s="41">
        <f>F327*AP327</f>
        <v>0</v>
      </c>
      <c r="AY327" s="38" t="s">
        <v>209</v>
      </c>
      <c r="AZ327" s="38" t="s">
        <v>373</v>
      </c>
      <c r="BA327" s="8" t="s">
        <v>518</v>
      </c>
      <c r="BC327" s="41">
        <f>AW327+AX327</f>
        <v>0</v>
      </c>
      <c r="BD327" s="41">
        <f>G327/(100-BE327)*100</f>
        <v>0</v>
      </c>
      <c r="BE327" s="41">
        <v>0</v>
      </c>
      <c r="BF327" s="41">
        <f>327</f>
        <v>327</v>
      </c>
      <c r="BH327" s="41">
        <f>F327*AO327</f>
        <v>0</v>
      </c>
      <c r="BI327" s="41">
        <f>F327*AP327</f>
        <v>0</v>
      </c>
      <c r="BJ327" s="41">
        <f>F327*G327</f>
        <v>0</v>
      </c>
      <c r="BK327" s="41"/>
      <c r="BL327" s="41">
        <v>767</v>
      </c>
      <c r="BW327" s="41">
        <v>12</v>
      </c>
    </row>
    <row r="328" spans="1:75" ht="15" customHeight="1">
      <c r="A328" s="17"/>
      <c r="C328" s="7" t="s">
        <v>205</v>
      </c>
      <c r="D328" s="7" t="s">
        <v>469</v>
      </c>
      <c r="F328" s="52">
        <v>20.580000000000002</v>
      </c>
      <c r="K328" s="34"/>
    </row>
    <row r="329" spans="1:75" ht="15" customHeight="1">
      <c r="A329" s="11" t="s">
        <v>469</v>
      </c>
      <c r="B329" s="16" t="s">
        <v>379</v>
      </c>
      <c r="C329" s="79" t="s">
        <v>16</v>
      </c>
      <c r="D329" s="80"/>
      <c r="E329" s="58" t="s">
        <v>619</v>
      </c>
      <c r="F329" s="58" t="s">
        <v>619</v>
      </c>
      <c r="G329" s="58" t="s">
        <v>619</v>
      </c>
      <c r="H329" s="49">
        <f>SUM(H330:H332)</f>
        <v>0</v>
      </c>
      <c r="I329" s="49">
        <f>SUM(I330:I332)</f>
        <v>0</v>
      </c>
      <c r="J329" s="49">
        <f>SUM(J330:J332)</f>
        <v>0</v>
      </c>
      <c r="K329" s="32" t="s">
        <v>469</v>
      </c>
      <c r="AI329" s="8" t="s">
        <v>469</v>
      </c>
      <c r="AS329" s="49">
        <f>SUM(AJ330:AJ332)</f>
        <v>0</v>
      </c>
      <c r="AT329" s="49">
        <f>SUM(AK330:AK332)</f>
        <v>0</v>
      </c>
      <c r="AU329" s="49">
        <f>SUM(AL330:AL332)</f>
        <v>0</v>
      </c>
    </row>
    <row r="330" spans="1:75" ht="13.5" customHeight="1">
      <c r="A330" s="26" t="s">
        <v>684</v>
      </c>
      <c r="B330" s="46" t="s">
        <v>475</v>
      </c>
      <c r="C330" s="66" t="s">
        <v>45</v>
      </c>
      <c r="D330" s="63"/>
      <c r="E330" s="46" t="s">
        <v>654</v>
      </c>
      <c r="F330" s="41">
        <v>20.5</v>
      </c>
      <c r="G330" s="41">
        <v>0</v>
      </c>
      <c r="H330" s="41">
        <f>F330*AO330</f>
        <v>0</v>
      </c>
      <c r="I330" s="41">
        <f>F330*AP330</f>
        <v>0</v>
      </c>
      <c r="J330" s="41">
        <f>F330*G330</f>
        <v>0</v>
      </c>
      <c r="K330" s="13" t="s">
        <v>313</v>
      </c>
      <c r="Z330" s="41">
        <f>IF(AQ330="5",BJ330,0)</f>
        <v>0</v>
      </c>
      <c r="AB330" s="41">
        <f>IF(AQ330="1",BH330,0)</f>
        <v>0</v>
      </c>
      <c r="AC330" s="41">
        <f>IF(AQ330="1",BI330,0)</f>
        <v>0</v>
      </c>
      <c r="AD330" s="41">
        <f>IF(AQ330="7",BH330,0)</f>
        <v>0</v>
      </c>
      <c r="AE330" s="41">
        <f>IF(AQ330="7",BI330,0)</f>
        <v>0</v>
      </c>
      <c r="AF330" s="41">
        <f>IF(AQ330="2",BH330,0)</f>
        <v>0</v>
      </c>
      <c r="AG330" s="41">
        <f>IF(AQ330="2",BI330,0)</f>
        <v>0</v>
      </c>
      <c r="AH330" s="41">
        <f>IF(AQ330="0",BJ330,0)</f>
        <v>0</v>
      </c>
      <c r="AI330" s="8" t="s">
        <v>469</v>
      </c>
      <c r="AJ330" s="41">
        <f>IF(AN330=0,J330,0)</f>
        <v>0</v>
      </c>
      <c r="AK330" s="41">
        <f>IF(AN330=12,J330,0)</f>
        <v>0</v>
      </c>
      <c r="AL330" s="41">
        <f>IF(AN330=21,J330,0)</f>
        <v>0</v>
      </c>
      <c r="AN330" s="41">
        <v>12</v>
      </c>
      <c r="AO330" s="41">
        <f>G330*0.100322580645161</f>
        <v>0</v>
      </c>
      <c r="AP330" s="41">
        <f>G330*(1-0.100322580645161)</f>
        <v>0</v>
      </c>
      <c r="AQ330" s="38" t="s">
        <v>665</v>
      </c>
      <c r="AV330" s="41">
        <f>AW330+AX330</f>
        <v>0</v>
      </c>
      <c r="AW330" s="41">
        <f>F330*AO330</f>
        <v>0</v>
      </c>
      <c r="AX330" s="41">
        <f>F330*AP330</f>
        <v>0</v>
      </c>
      <c r="AY330" s="38" t="s">
        <v>591</v>
      </c>
      <c r="AZ330" s="38" t="s">
        <v>302</v>
      </c>
      <c r="BA330" s="8" t="s">
        <v>518</v>
      </c>
      <c r="BC330" s="41">
        <f>AW330+AX330</f>
        <v>0</v>
      </c>
      <c r="BD330" s="41">
        <f>G330/(100-BE330)*100</f>
        <v>0</v>
      </c>
      <c r="BE330" s="41">
        <v>0</v>
      </c>
      <c r="BF330" s="41">
        <f>330</f>
        <v>330</v>
      </c>
      <c r="BH330" s="41">
        <f>F330*AO330</f>
        <v>0</v>
      </c>
      <c r="BI330" s="41">
        <f>F330*AP330</f>
        <v>0</v>
      </c>
      <c r="BJ330" s="41">
        <f>F330*G330</f>
        <v>0</v>
      </c>
      <c r="BK330" s="41"/>
      <c r="BL330" s="41">
        <v>784</v>
      </c>
      <c r="BW330" s="41">
        <v>12</v>
      </c>
    </row>
    <row r="331" spans="1:75" ht="15" customHeight="1">
      <c r="A331" s="17"/>
      <c r="C331" s="7" t="s">
        <v>19</v>
      </c>
      <c r="D331" s="7" t="s">
        <v>469</v>
      </c>
      <c r="F331" s="52">
        <v>20.5</v>
      </c>
      <c r="K331" s="34"/>
    </row>
    <row r="332" spans="1:75" ht="13.5" customHeight="1">
      <c r="A332" s="26" t="s">
        <v>403</v>
      </c>
      <c r="B332" s="46" t="s">
        <v>426</v>
      </c>
      <c r="C332" s="66" t="s">
        <v>305</v>
      </c>
      <c r="D332" s="63"/>
      <c r="E332" s="46" t="s">
        <v>654</v>
      </c>
      <c r="F332" s="41">
        <v>100</v>
      </c>
      <c r="G332" s="41">
        <v>0</v>
      </c>
      <c r="H332" s="41">
        <f>F332*AO332</f>
        <v>0</v>
      </c>
      <c r="I332" s="41">
        <f>F332*AP332</f>
        <v>0</v>
      </c>
      <c r="J332" s="41">
        <f>F332*G332</f>
        <v>0</v>
      </c>
      <c r="K332" s="13" t="s">
        <v>313</v>
      </c>
      <c r="Z332" s="41">
        <f>IF(AQ332="5",BJ332,0)</f>
        <v>0</v>
      </c>
      <c r="AB332" s="41">
        <f>IF(AQ332="1",BH332,0)</f>
        <v>0</v>
      </c>
      <c r="AC332" s="41">
        <f>IF(AQ332="1",BI332,0)</f>
        <v>0</v>
      </c>
      <c r="AD332" s="41">
        <f>IF(AQ332="7",BH332,0)</f>
        <v>0</v>
      </c>
      <c r="AE332" s="41">
        <f>IF(AQ332="7",BI332,0)</f>
        <v>0</v>
      </c>
      <c r="AF332" s="41">
        <f>IF(AQ332="2",BH332,0)</f>
        <v>0</v>
      </c>
      <c r="AG332" s="41">
        <f>IF(AQ332="2",BI332,0)</f>
        <v>0</v>
      </c>
      <c r="AH332" s="41">
        <f>IF(AQ332="0",BJ332,0)</f>
        <v>0</v>
      </c>
      <c r="AI332" s="8" t="s">
        <v>469</v>
      </c>
      <c r="AJ332" s="41">
        <f>IF(AN332=0,J332,0)</f>
        <v>0</v>
      </c>
      <c r="AK332" s="41">
        <f>IF(AN332=12,J332,0)</f>
        <v>0</v>
      </c>
      <c r="AL332" s="41">
        <f>IF(AN332=21,J332,0)</f>
        <v>0</v>
      </c>
      <c r="AN332" s="41">
        <v>12</v>
      </c>
      <c r="AO332" s="41">
        <f>G332*0.228180574555404</f>
        <v>0</v>
      </c>
      <c r="AP332" s="41">
        <f>G332*(1-0.228180574555404)</f>
        <v>0</v>
      </c>
      <c r="AQ332" s="38" t="s">
        <v>665</v>
      </c>
      <c r="AV332" s="41">
        <f>AW332+AX332</f>
        <v>0</v>
      </c>
      <c r="AW332" s="41">
        <f>F332*AO332</f>
        <v>0</v>
      </c>
      <c r="AX332" s="41">
        <f>F332*AP332</f>
        <v>0</v>
      </c>
      <c r="AY332" s="38" t="s">
        <v>591</v>
      </c>
      <c r="AZ332" s="38" t="s">
        <v>302</v>
      </c>
      <c r="BA332" s="8" t="s">
        <v>518</v>
      </c>
      <c r="BC332" s="41">
        <f>AW332+AX332</f>
        <v>0</v>
      </c>
      <c r="BD332" s="41">
        <f>G332/(100-BE332)*100</f>
        <v>0</v>
      </c>
      <c r="BE332" s="41">
        <v>0</v>
      </c>
      <c r="BF332" s="41">
        <f>332</f>
        <v>332</v>
      </c>
      <c r="BH332" s="41">
        <f>F332*AO332</f>
        <v>0</v>
      </c>
      <c r="BI332" s="41">
        <f>F332*AP332</f>
        <v>0</v>
      </c>
      <c r="BJ332" s="41">
        <f>F332*G332</f>
        <v>0</v>
      </c>
      <c r="BK332" s="41"/>
      <c r="BL332" s="41">
        <v>784</v>
      </c>
      <c r="BW332" s="41">
        <v>12</v>
      </c>
    </row>
    <row r="333" spans="1:75" ht="15" customHeight="1">
      <c r="A333" s="17"/>
      <c r="C333" s="7" t="s">
        <v>436</v>
      </c>
      <c r="D333" s="7" t="s">
        <v>469</v>
      </c>
      <c r="F333" s="52">
        <v>100.00000000000001</v>
      </c>
      <c r="K333" s="34"/>
    </row>
    <row r="334" spans="1:75" ht="15" customHeight="1">
      <c r="A334" s="11" t="s">
        <v>469</v>
      </c>
      <c r="B334" s="16" t="s">
        <v>94</v>
      </c>
      <c r="C334" s="79" t="s">
        <v>480</v>
      </c>
      <c r="D334" s="80"/>
      <c r="E334" s="58" t="s">
        <v>619</v>
      </c>
      <c r="F334" s="58" t="s">
        <v>619</v>
      </c>
      <c r="G334" s="58" t="s">
        <v>619</v>
      </c>
      <c r="H334" s="49">
        <f>SUM(H335:H351)</f>
        <v>0</v>
      </c>
      <c r="I334" s="49">
        <f>SUM(I335:I351)</f>
        <v>0</v>
      </c>
      <c r="J334" s="49">
        <f>SUM(J335:J351)</f>
        <v>0</v>
      </c>
      <c r="K334" s="32" t="s">
        <v>469</v>
      </c>
      <c r="AI334" s="8" t="s">
        <v>469</v>
      </c>
      <c r="AS334" s="49">
        <f>SUM(AJ335:AJ351)</f>
        <v>0</v>
      </c>
      <c r="AT334" s="49">
        <f>SUM(AK335:AK351)</f>
        <v>0</v>
      </c>
      <c r="AU334" s="49">
        <f>SUM(AL335:AL351)</f>
        <v>0</v>
      </c>
    </row>
    <row r="335" spans="1:75" ht="13.5" customHeight="1">
      <c r="A335" s="26" t="s">
        <v>339</v>
      </c>
      <c r="B335" s="46" t="s">
        <v>319</v>
      </c>
      <c r="C335" s="66" t="s">
        <v>597</v>
      </c>
      <c r="D335" s="63"/>
      <c r="E335" s="46" t="s">
        <v>654</v>
      </c>
      <c r="F335" s="41">
        <v>498</v>
      </c>
      <c r="G335" s="41">
        <v>0</v>
      </c>
      <c r="H335" s="41">
        <f>F335*AO335</f>
        <v>0</v>
      </c>
      <c r="I335" s="41">
        <f>F335*AP335</f>
        <v>0</v>
      </c>
      <c r="J335" s="41">
        <f>F335*G335</f>
        <v>0</v>
      </c>
      <c r="K335" s="13" t="s">
        <v>313</v>
      </c>
      <c r="Z335" s="41">
        <f>IF(AQ335="5",BJ335,0)</f>
        <v>0</v>
      </c>
      <c r="AB335" s="41">
        <f>IF(AQ335="1",BH335,0)</f>
        <v>0</v>
      </c>
      <c r="AC335" s="41">
        <f>IF(AQ335="1",BI335,0)</f>
        <v>0</v>
      </c>
      <c r="AD335" s="41">
        <f>IF(AQ335="7",BH335,0)</f>
        <v>0</v>
      </c>
      <c r="AE335" s="41">
        <f>IF(AQ335="7",BI335,0)</f>
        <v>0</v>
      </c>
      <c r="AF335" s="41">
        <f>IF(AQ335="2",BH335,0)</f>
        <v>0</v>
      </c>
      <c r="AG335" s="41">
        <f>IF(AQ335="2",BI335,0)</f>
        <v>0</v>
      </c>
      <c r="AH335" s="41">
        <f>IF(AQ335="0",BJ335,0)</f>
        <v>0</v>
      </c>
      <c r="AI335" s="8" t="s">
        <v>469</v>
      </c>
      <c r="AJ335" s="41">
        <f>IF(AN335=0,J335,0)</f>
        <v>0</v>
      </c>
      <c r="AK335" s="41">
        <f>IF(AN335=12,J335,0)</f>
        <v>0</v>
      </c>
      <c r="AL335" s="41">
        <f>IF(AN335=21,J335,0)</f>
        <v>0</v>
      </c>
      <c r="AN335" s="41">
        <v>12</v>
      </c>
      <c r="AO335" s="41">
        <f>G335*0.000532623169107856</f>
        <v>0</v>
      </c>
      <c r="AP335" s="41">
        <f>G335*(1-0.000532623169107856)</f>
        <v>0</v>
      </c>
      <c r="AQ335" s="38" t="s">
        <v>661</v>
      </c>
      <c r="AV335" s="41">
        <f>AW335+AX335</f>
        <v>0</v>
      </c>
      <c r="AW335" s="41">
        <f>F335*AO335</f>
        <v>0</v>
      </c>
      <c r="AX335" s="41">
        <f>F335*AP335</f>
        <v>0</v>
      </c>
      <c r="AY335" s="38" t="s">
        <v>739</v>
      </c>
      <c r="AZ335" s="38" t="s">
        <v>251</v>
      </c>
      <c r="BA335" s="8" t="s">
        <v>518</v>
      </c>
      <c r="BC335" s="41">
        <f>AW335+AX335</f>
        <v>0</v>
      </c>
      <c r="BD335" s="41">
        <f>G335/(100-BE335)*100</f>
        <v>0</v>
      </c>
      <c r="BE335" s="41">
        <v>0</v>
      </c>
      <c r="BF335" s="41">
        <f>335</f>
        <v>335</v>
      </c>
      <c r="BH335" s="41">
        <f>F335*AO335</f>
        <v>0</v>
      </c>
      <c r="BI335" s="41">
        <f>F335*AP335</f>
        <v>0</v>
      </c>
      <c r="BJ335" s="41">
        <f>F335*G335</f>
        <v>0</v>
      </c>
      <c r="BK335" s="41"/>
      <c r="BL335" s="41">
        <v>94</v>
      </c>
      <c r="BW335" s="41">
        <v>12</v>
      </c>
    </row>
    <row r="336" spans="1:75" ht="15" customHeight="1">
      <c r="A336" s="17"/>
      <c r="C336" s="7" t="s">
        <v>95</v>
      </c>
      <c r="D336" s="7" t="s">
        <v>469</v>
      </c>
      <c r="F336" s="52">
        <v>152.60000000000002</v>
      </c>
      <c r="K336" s="34"/>
    </row>
    <row r="337" spans="1:75" ht="15" customHeight="1">
      <c r="A337" s="17"/>
      <c r="C337" s="7" t="s">
        <v>184</v>
      </c>
      <c r="D337" s="7" t="s">
        <v>469</v>
      </c>
      <c r="F337" s="52">
        <v>129</v>
      </c>
      <c r="K337" s="34"/>
    </row>
    <row r="338" spans="1:75" ht="15" customHeight="1">
      <c r="A338" s="17"/>
      <c r="C338" s="7" t="s">
        <v>157</v>
      </c>
      <c r="D338" s="7" t="s">
        <v>469</v>
      </c>
      <c r="F338" s="52">
        <v>108.00000000000001</v>
      </c>
      <c r="K338" s="34"/>
    </row>
    <row r="339" spans="1:75" ht="15" customHeight="1">
      <c r="A339" s="17"/>
      <c r="C339" s="7" t="s">
        <v>663</v>
      </c>
      <c r="D339" s="7" t="s">
        <v>469</v>
      </c>
      <c r="F339" s="52">
        <v>108.00000000000001</v>
      </c>
      <c r="K339" s="34"/>
    </row>
    <row r="340" spans="1:75" ht="15" customHeight="1">
      <c r="A340" s="17"/>
      <c r="C340" s="7" t="s">
        <v>650</v>
      </c>
      <c r="D340" s="7" t="s">
        <v>469</v>
      </c>
      <c r="F340" s="52">
        <v>0.4</v>
      </c>
      <c r="K340" s="34"/>
    </row>
    <row r="341" spans="1:75" ht="13.5" customHeight="1">
      <c r="A341" s="26" t="s">
        <v>446</v>
      </c>
      <c r="B341" s="46" t="s">
        <v>64</v>
      </c>
      <c r="C341" s="66" t="s">
        <v>286</v>
      </c>
      <c r="D341" s="63"/>
      <c r="E341" s="46" t="s">
        <v>654</v>
      </c>
      <c r="F341" s="41">
        <v>1494</v>
      </c>
      <c r="G341" s="41">
        <v>0</v>
      </c>
      <c r="H341" s="41">
        <f>F341*AO341</f>
        <v>0</v>
      </c>
      <c r="I341" s="41">
        <f>F341*AP341</f>
        <v>0</v>
      </c>
      <c r="J341" s="41">
        <f>F341*G341</f>
        <v>0</v>
      </c>
      <c r="K341" s="13" t="s">
        <v>313</v>
      </c>
      <c r="Z341" s="41">
        <f>IF(AQ341="5",BJ341,0)</f>
        <v>0</v>
      </c>
      <c r="AB341" s="41">
        <f>IF(AQ341="1",BH341,0)</f>
        <v>0</v>
      </c>
      <c r="AC341" s="41">
        <f>IF(AQ341="1",BI341,0)</f>
        <v>0</v>
      </c>
      <c r="AD341" s="41">
        <f>IF(AQ341="7",BH341,0)</f>
        <v>0</v>
      </c>
      <c r="AE341" s="41">
        <f>IF(AQ341="7",BI341,0)</f>
        <v>0</v>
      </c>
      <c r="AF341" s="41">
        <f>IF(AQ341="2",BH341,0)</f>
        <v>0</v>
      </c>
      <c r="AG341" s="41">
        <f>IF(AQ341="2",BI341,0)</f>
        <v>0</v>
      </c>
      <c r="AH341" s="41">
        <f>IF(AQ341="0",BJ341,0)</f>
        <v>0</v>
      </c>
      <c r="AI341" s="8" t="s">
        <v>469</v>
      </c>
      <c r="AJ341" s="41">
        <f>IF(AN341=0,J341,0)</f>
        <v>0</v>
      </c>
      <c r="AK341" s="41">
        <f>IF(AN341=12,J341,0)</f>
        <v>0</v>
      </c>
      <c r="AL341" s="41">
        <f>IF(AN341=21,J341,0)</f>
        <v>0</v>
      </c>
      <c r="AN341" s="41">
        <v>12</v>
      </c>
      <c r="AO341" s="41">
        <f>G341*0.946943896755691</f>
        <v>0</v>
      </c>
      <c r="AP341" s="41">
        <f>G341*(1-0.946943896755691)</f>
        <v>0</v>
      </c>
      <c r="AQ341" s="38" t="s">
        <v>661</v>
      </c>
      <c r="AV341" s="41">
        <f>AW341+AX341</f>
        <v>0</v>
      </c>
      <c r="AW341" s="41">
        <f>F341*AO341</f>
        <v>0</v>
      </c>
      <c r="AX341" s="41">
        <f>F341*AP341</f>
        <v>0</v>
      </c>
      <c r="AY341" s="38" t="s">
        <v>739</v>
      </c>
      <c r="AZ341" s="38" t="s">
        <v>251</v>
      </c>
      <c r="BA341" s="8" t="s">
        <v>518</v>
      </c>
      <c r="BC341" s="41">
        <f>AW341+AX341</f>
        <v>0</v>
      </c>
      <c r="BD341" s="41">
        <f>G341/(100-BE341)*100</f>
        <v>0</v>
      </c>
      <c r="BE341" s="41">
        <v>0</v>
      </c>
      <c r="BF341" s="41">
        <f>341</f>
        <v>341</v>
      </c>
      <c r="BH341" s="41">
        <f>F341*AO341</f>
        <v>0</v>
      </c>
      <c r="BI341" s="41">
        <f>F341*AP341</f>
        <v>0</v>
      </c>
      <c r="BJ341" s="41">
        <f>F341*G341</f>
        <v>0</v>
      </c>
      <c r="BK341" s="41"/>
      <c r="BL341" s="41">
        <v>94</v>
      </c>
      <c r="BW341" s="41">
        <v>12</v>
      </c>
    </row>
    <row r="342" spans="1:75" ht="15" customHeight="1">
      <c r="A342" s="17"/>
      <c r="C342" s="7" t="s">
        <v>646</v>
      </c>
      <c r="D342" s="7" t="s">
        <v>469</v>
      </c>
      <c r="F342" s="52">
        <v>1494.0000000000002</v>
      </c>
      <c r="K342" s="34"/>
    </row>
    <row r="343" spans="1:75" ht="13.5" customHeight="1">
      <c r="A343" s="26" t="s">
        <v>32</v>
      </c>
      <c r="B343" s="46" t="s">
        <v>754</v>
      </c>
      <c r="C343" s="66" t="s">
        <v>239</v>
      </c>
      <c r="D343" s="63"/>
      <c r="E343" s="46" t="s">
        <v>654</v>
      </c>
      <c r="F343" s="41">
        <v>498</v>
      </c>
      <c r="G343" s="41">
        <v>0</v>
      </c>
      <c r="H343" s="41">
        <f>F343*AO343</f>
        <v>0</v>
      </c>
      <c r="I343" s="41">
        <f>F343*AP343</f>
        <v>0</v>
      </c>
      <c r="J343" s="41">
        <f>F343*G343</f>
        <v>0</v>
      </c>
      <c r="K343" s="13" t="s">
        <v>313</v>
      </c>
      <c r="Z343" s="41">
        <f>IF(AQ343="5",BJ343,0)</f>
        <v>0</v>
      </c>
      <c r="AB343" s="41">
        <f>IF(AQ343="1",BH343,0)</f>
        <v>0</v>
      </c>
      <c r="AC343" s="41">
        <f>IF(AQ343="1",BI343,0)</f>
        <v>0</v>
      </c>
      <c r="AD343" s="41">
        <f>IF(AQ343="7",BH343,0)</f>
        <v>0</v>
      </c>
      <c r="AE343" s="41">
        <f>IF(AQ343="7",BI343,0)</f>
        <v>0</v>
      </c>
      <c r="AF343" s="41">
        <f>IF(AQ343="2",BH343,0)</f>
        <v>0</v>
      </c>
      <c r="AG343" s="41">
        <f>IF(AQ343="2",BI343,0)</f>
        <v>0</v>
      </c>
      <c r="AH343" s="41">
        <f>IF(AQ343="0",BJ343,0)</f>
        <v>0</v>
      </c>
      <c r="AI343" s="8" t="s">
        <v>469</v>
      </c>
      <c r="AJ343" s="41">
        <f>IF(AN343=0,J343,0)</f>
        <v>0</v>
      </c>
      <c r="AK343" s="41">
        <f>IF(AN343=12,J343,0)</f>
        <v>0</v>
      </c>
      <c r="AL343" s="41">
        <f>IF(AN343=21,J343,0)</f>
        <v>0</v>
      </c>
      <c r="AN343" s="41">
        <v>12</v>
      </c>
      <c r="AO343" s="41">
        <f>G343*0</f>
        <v>0</v>
      </c>
      <c r="AP343" s="41">
        <f>G343*(1-0)</f>
        <v>0</v>
      </c>
      <c r="AQ343" s="38" t="s">
        <v>661</v>
      </c>
      <c r="AV343" s="41">
        <f>AW343+AX343</f>
        <v>0</v>
      </c>
      <c r="AW343" s="41">
        <f>F343*AO343</f>
        <v>0</v>
      </c>
      <c r="AX343" s="41">
        <f>F343*AP343</f>
        <v>0</v>
      </c>
      <c r="AY343" s="38" t="s">
        <v>739</v>
      </c>
      <c r="AZ343" s="38" t="s">
        <v>251</v>
      </c>
      <c r="BA343" s="8" t="s">
        <v>518</v>
      </c>
      <c r="BC343" s="41">
        <f>AW343+AX343</f>
        <v>0</v>
      </c>
      <c r="BD343" s="41">
        <f>G343/(100-BE343)*100</f>
        <v>0</v>
      </c>
      <c r="BE343" s="41">
        <v>0</v>
      </c>
      <c r="BF343" s="41">
        <f>343</f>
        <v>343</v>
      </c>
      <c r="BH343" s="41">
        <f>F343*AO343</f>
        <v>0</v>
      </c>
      <c r="BI343" s="41">
        <f>F343*AP343</f>
        <v>0</v>
      </c>
      <c r="BJ343" s="41">
        <f>F343*G343</f>
        <v>0</v>
      </c>
      <c r="BK343" s="41"/>
      <c r="BL343" s="41">
        <v>94</v>
      </c>
      <c r="BW343" s="41">
        <v>12</v>
      </c>
    </row>
    <row r="344" spans="1:75" ht="15" customHeight="1">
      <c r="A344" s="17"/>
      <c r="C344" s="7" t="s">
        <v>394</v>
      </c>
      <c r="D344" s="7" t="s">
        <v>469</v>
      </c>
      <c r="F344" s="52">
        <v>498.00000000000006</v>
      </c>
      <c r="K344" s="34"/>
    </row>
    <row r="345" spans="1:75" ht="13.5" customHeight="1">
      <c r="A345" s="26" t="s">
        <v>722</v>
      </c>
      <c r="B345" s="46" t="s">
        <v>250</v>
      </c>
      <c r="C345" s="66" t="s">
        <v>283</v>
      </c>
      <c r="D345" s="63"/>
      <c r="E345" s="46" t="s">
        <v>654</v>
      </c>
      <c r="F345" s="41">
        <v>498</v>
      </c>
      <c r="G345" s="41">
        <v>0</v>
      </c>
      <c r="H345" s="41">
        <f>F345*AO345</f>
        <v>0</v>
      </c>
      <c r="I345" s="41">
        <f>F345*AP345</f>
        <v>0</v>
      </c>
      <c r="J345" s="41">
        <f>F345*G345</f>
        <v>0</v>
      </c>
      <c r="K345" s="13" t="s">
        <v>313</v>
      </c>
      <c r="Z345" s="41">
        <f>IF(AQ345="5",BJ345,0)</f>
        <v>0</v>
      </c>
      <c r="AB345" s="41">
        <f>IF(AQ345="1",BH345,0)</f>
        <v>0</v>
      </c>
      <c r="AC345" s="41">
        <f>IF(AQ345="1",BI345,0)</f>
        <v>0</v>
      </c>
      <c r="AD345" s="41">
        <f>IF(AQ345="7",BH345,0)</f>
        <v>0</v>
      </c>
      <c r="AE345" s="41">
        <f>IF(AQ345="7",BI345,0)</f>
        <v>0</v>
      </c>
      <c r="AF345" s="41">
        <f>IF(AQ345="2",BH345,0)</f>
        <v>0</v>
      </c>
      <c r="AG345" s="41">
        <f>IF(AQ345="2",BI345,0)</f>
        <v>0</v>
      </c>
      <c r="AH345" s="41">
        <f>IF(AQ345="0",BJ345,0)</f>
        <v>0</v>
      </c>
      <c r="AI345" s="8" t="s">
        <v>469</v>
      </c>
      <c r="AJ345" s="41">
        <f>IF(AN345=0,J345,0)</f>
        <v>0</v>
      </c>
      <c r="AK345" s="41">
        <f>IF(AN345=12,J345,0)</f>
        <v>0</v>
      </c>
      <c r="AL345" s="41">
        <f>IF(AN345=21,J345,0)</f>
        <v>0</v>
      </c>
      <c r="AN345" s="41">
        <v>12</v>
      </c>
      <c r="AO345" s="41">
        <f>G345*0</f>
        <v>0</v>
      </c>
      <c r="AP345" s="41">
        <f>G345*(1-0)</f>
        <v>0</v>
      </c>
      <c r="AQ345" s="38" t="s">
        <v>661</v>
      </c>
      <c r="AV345" s="41">
        <f>AW345+AX345</f>
        <v>0</v>
      </c>
      <c r="AW345" s="41">
        <f>F345*AO345</f>
        <v>0</v>
      </c>
      <c r="AX345" s="41">
        <f>F345*AP345</f>
        <v>0</v>
      </c>
      <c r="AY345" s="38" t="s">
        <v>739</v>
      </c>
      <c r="AZ345" s="38" t="s">
        <v>251</v>
      </c>
      <c r="BA345" s="8" t="s">
        <v>518</v>
      </c>
      <c r="BC345" s="41">
        <f>AW345+AX345</f>
        <v>0</v>
      </c>
      <c r="BD345" s="41">
        <f>G345/(100-BE345)*100</f>
        <v>0</v>
      </c>
      <c r="BE345" s="41">
        <v>0</v>
      </c>
      <c r="BF345" s="41">
        <f>345</f>
        <v>345</v>
      </c>
      <c r="BH345" s="41">
        <f>F345*AO345</f>
        <v>0</v>
      </c>
      <c r="BI345" s="41">
        <f>F345*AP345</f>
        <v>0</v>
      </c>
      <c r="BJ345" s="41">
        <f>F345*G345</f>
        <v>0</v>
      </c>
      <c r="BK345" s="41"/>
      <c r="BL345" s="41">
        <v>94</v>
      </c>
      <c r="BW345" s="41">
        <v>12</v>
      </c>
    </row>
    <row r="346" spans="1:75" ht="15" customHeight="1">
      <c r="A346" s="17"/>
      <c r="C346" s="7" t="s">
        <v>144</v>
      </c>
      <c r="D346" s="7" t="s">
        <v>469</v>
      </c>
      <c r="F346" s="52">
        <v>498.00000000000006</v>
      </c>
      <c r="K346" s="34"/>
    </row>
    <row r="347" spans="1:75" ht="13.5" customHeight="1">
      <c r="A347" s="26" t="s">
        <v>714</v>
      </c>
      <c r="B347" s="46" t="s">
        <v>369</v>
      </c>
      <c r="C347" s="66" t="s">
        <v>81</v>
      </c>
      <c r="D347" s="63"/>
      <c r="E347" s="46" t="s">
        <v>654</v>
      </c>
      <c r="F347" s="41">
        <v>1494</v>
      </c>
      <c r="G347" s="41">
        <v>0</v>
      </c>
      <c r="H347" s="41">
        <f>F347*AO347</f>
        <v>0</v>
      </c>
      <c r="I347" s="41">
        <f>F347*AP347</f>
        <v>0</v>
      </c>
      <c r="J347" s="41">
        <f>F347*G347</f>
        <v>0</v>
      </c>
      <c r="K347" s="13" t="s">
        <v>313</v>
      </c>
      <c r="Z347" s="41">
        <f>IF(AQ347="5",BJ347,0)</f>
        <v>0</v>
      </c>
      <c r="AB347" s="41">
        <f>IF(AQ347="1",BH347,0)</f>
        <v>0</v>
      </c>
      <c r="AC347" s="41">
        <f>IF(AQ347="1",BI347,0)</f>
        <v>0</v>
      </c>
      <c r="AD347" s="41">
        <f>IF(AQ347="7",BH347,0)</f>
        <v>0</v>
      </c>
      <c r="AE347" s="41">
        <f>IF(AQ347="7",BI347,0)</f>
        <v>0</v>
      </c>
      <c r="AF347" s="41">
        <f>IF(AQ347="2",BH347,0)</f>
        <v>0</v>
      </c>
      <c r="AG347" s="41">
        <f>IF(AQ347="2",BI347,0)</f>
        <v>0</v>
      </c>
      <c r="AH347" s="41">
        <f>IF(AQ347="0",BJ347,0)</f>
        <v>0</v>
      </c>
      <c r="AI347" s="8" t="s">
        <v>469</v>
      </c>
      <c r="AJ347" s="41">
        <f>IF(AN347=0,J347,0)</f>
        <v>0</v>
      </c>
      <c r="AK347" s="41">
        <f>IF(AN347=12,J347,0)</f>
        <v>0</v>
      </c>
      <c r="AL347" s="41">
        <f>IF(AN347=21,J347,0)</f>
        <v>0</v>
      </c>
      <c r="AN347" s="41">
        <v>12</v>
      </c>
      <c r="AO347" s="41">
        <f>G347*1</f>
        <v>0</v>
      </c>
      <c r="AP347" s="41">
        <f>G347*(1-1)</f>
        <v>0</v>
      </c>
      <c r="AQ347" s="38" t="s">
        <v>661</v>
      </c>
      <c r="AV347" s="41">
        <f>AW347+AX347</f>
        <v>0</v>
      </c>
      <c r="AW347" s="41">
        <f>F347*AO347</f>
        <v>0</v>
      </c>
      <c r="AX347" s="41">
        <f>F347*AP347</f>
        <v>0</v>
      </c>
      <c r="AY347" s="38" t="s">
        <v>739</v>
      </c>
      <c r="AZ347" s="38" t="s">
        <v>251</v>
      </c>
      <c r="BA347" s="8" t="s">
        <v>518</v>
      </c>
      <c r="BC347" s="41">
        <f>AW347+AX347</f>
        <v>0</v>
      </c>
      <c r="BD347" s="41">
        <f>G347/(100-BE347)*100</f>
        <v>0</v>
      </c>
      <c r="BE347" s="41">
        <v>0</v>
      </c>
      <c r="BF347" s="41">
        <f>347</f>
        <v>347</v>
      </c>
      <c r="BH347" s="41">
        <f>F347*AO347</f>
        <v>0</v>
      </c>
      <c r="BI347" s="41">
        <f>F347*AP347</f>
        <v>0</v>
      </c>
      <c r="BJ347" s="41">
        <f>F347*G347</f>
        <v>0</v>
      </c>
      <c r="BK347" s="41"/>
      <c r="BL347" s="41">
        <v>94</v>
      </c>
      <c r="BW347" s="41">
        <v>12</v>
      </c>
    </row>
    <row r="348" spans="1:75" ht="15" customHeight="1">
      <c r="A348" s="17"/>
      <c r="C348" s="7" t="s">
        <v>646</v>
      </c>
      <c r="D348" s="7" t="s">
        <v>469</v>
      </c>
      <c r="F348" s="52">
        <v>1494.0000000000002</v>
      </c>
      <c r="K348" s="34"/>
    </row>
    <row r="349" spans="1:75" ht="13.5" customHeight="1">
      <c r="A349" s="26" t="s">
        <v>713</v>
      </c>
      <c r="B349" s="46" t="s">
        <v>97</v>
      </c>
      <c r="C349" s="66" t="s">
        <v>704</v>
      </c>
      <c r="D349" s="63"/>
      <c r="E349" s="46" t="s">
        <v>654</v>
      </c>
      <c r="F349" s="41">
        <v>498</v>
      </c>
      <c r="G349" s="41">
        <v>0</v>
      </c>
      <c r="H349" s="41">
        <f>F349*AO349</f>
        <v>0</v>
      </c>
      <c r="I349" s="41">
        <f>F349*AP349</f>
        <v>0</v>
      </c>
      <c r="J349" s="41">
        <f>F349*G349</f>
        <v>0</v>
      </c>
      <c r="K349" s="13" t="s">
        <v>313</v>
      </c>
      <c r="Z349" s="41">
        <f>IF(AQ349="5",BJ349,0)</f>
        <v>0</v>
      </c>
      <c r="AB349" s="41">
        <f>IF(AQ349="1",BH349,0)</f>
        <v>0</v>
      </c>
      <c r="AC349" s="41">
        <f>IF(AQ349="1",BI349,0)</f>
        <v>0</v>
      </c>
      <c r="AD349" s="41">
        <f>IF(AQ349="7",BH349,0)</f>
        <v>0</v>
      </c>
      <c r="AE349" s="41">
        <f>IF(AQ349="7",BI349,0)</f>
        <v>0</v>
      </c>
      <c r="AF349" s="41">
        <f>IF(AQ349="2",BH349,0)</f>
        <v>0</v>
      </c>
      <c r="AG349" s="41">
        <f>IF(AQ349="2",BI349,0)</f>
        <v>0</v>
      </c>
      <c r="AH349" s="41">
        <f>IF(AQ349="0",BJ349,0)</f>
        <v>0</v>
      </c>
      <c r="AI349" s="8" t="s">
        <v>469</v>
      </c>
      <c r="AJ349" s="41">
        <f>IF(AN349=0,J349,0)</f>
        <v>0</v>
      </c>
      <c r="AK349" s="41">
        <f>IF(AN349=12,J349,0)</f>
        <v>0</v>
      </c>
      <c r="AL349" s="41">
        <f>IF(AN349=21,J349,0)</f>
        <v>0</v>
      </c>
      <c r="AN349" s="41">
        <v>12</v>
      </c>
      <c r="AO349" s="41">
        <f>G349*0</f>
        <v>0</v>
      </c>
      <c r="AP349" s="41">
        <f>G349*(1-0)</f>
        <v>0</v>
      </c>
      <c r="AQ349" s="38" t="s">
        <v>661</v>
      </c>
      <c r="AV349" s="41">
        <f>AW349+AX349</f>
        <v>0</v>
      </c>
      <c r="AW349" s="41">
        <f>F349*AO349</f>
        <v>0</v>
      </c>
      <c r="AX349" s="41">
        <f>F349*AP349</f>
        <v>0</v>
      </c>
      <c r="AY349" s="38" t="s">
        <v>739</v>
      </c>
      <c r="AZ349" s="38" t="s">
        <v>251</v>
      </c>
      <c r="BA349" s="8" t="s">
        <v>518</v>
      </c>
      <c r="BC349" s="41">
        <f>AW349+AX349</f>
        <v>0</v>
      </c>
      <c r="BD349" s="41">
        <f>G349/(100-BE349)*100</f>
        <v>0</v>
      </c>
      <c r="BE349" s="41">
        <v>0</v>
      </c>
      <c r="BF349" s="41">
        <f>349</f>
        <v>349</v>
      </c>
      <c r="BH349" s="41">
        <f>F349*AO349</f>
        <v>0</v>
      </c>
      <c r="BI349" s="41">
        <f>F349*AP349</f>
        <v>0</v>
      </c>
      <c r="BJ349" s="41">
        <f>F349*G349</f>
        <v>0</v>
      </c>
      <c r="BK349" s="41"/>
      <c r="BL349" s="41">
        <v>94</v>
      </c>
      <c r="BW349" s="41">
        <v>12</v>
      </c>
    </row>
    <row r="350" spans="1:75" ht="15" customHeight="1">
      <c r="A350" s="17"/>
      <c r="C350" s="7" t="s">
        <v>394</v>
      </c>
      <c r="D350" s="7" t="s">
        <v>469</v>
      </c>
      <c r="F350" s="52">
        <v>498.00000000000006</v>
      </c>
      <c r="K350" s="34"/>
    </row>
    <row r="351" spans="1:75" ht="13.5" customHeight="1">
      <c r="A351" s="26" t="s">
        <v>31</v>
      </c>
      <c r="B351" s="46" t="s">
        <v>154</v>
      </c>
      <c r="C351" s="66" t="s">
        <v>450</v>
      </c>
      <c r="D351" s="63"/>
      <c r="E351" s="46" t="s">
        <v>654</v>
      </c>
      <c r="F351" s="41">
        <v>12</v>
      </c>
      <c r="G351" s="41">
        <v>0</v>
      </c>
      <c r="H351" s="41">
        <f>F351*AO351</f>
        <v>0</v>
      </c>
      <c r="I351" s="41">
        <f>F351*AP351</f>
        <v>0</v>
      </c>
      <c r="J351" s="41">
        <f>F351*G351</f>
        <v>0</v>
      </c>
      <c r="K351" s="13" t="s">
        <v>313</v>
      </c>
      <c r="Z351" s="41">
        <f>IF(AQ351="5",BJ351,0)</f>
        <v>0</v>
      </c>
      <c r="AB351" s="41">
        <f>IF(AQ351="1",BH351,0)</f>
        <v>0</v>
      </c>
      <c r="AC351" s="41">
        <f>IF(AQ351="1",BI351,0)</f>
        <v>0</v>
      </c>
      <c r="AD351" s="41">
        <f>IF(AQ351="7",BH351,0)</f>
        <v>0</v>
      </c>
      <c r="AE351" s="41">
        <f>IF(AQ351="7",BI351,0)</f>
        <v>0</v>
      </c>
      <c r="AF351" s="41">
        <f>IF(AQ351="2",BH351,0)</f>
        <v>0</v>
      </c>
      <c r="AG351" s="41">
        <f>IF(AQ351="2",BI351,0)</f>
        <v>0</v>
      </c>
      <c r="AH351" s="41">
        <f>IF(AQ351="0",BJ351,0)</f>
        <v>0</v>
      </c>
      <c r="AI351" s="8" t="s">
        <v>469</v>
      </c>
      <c r="AJ351" s="41">
        <f>IF(AN351=0,J351,0)</f>
        <v>0</v>
      </c>
      <c r="AK351" s="41">
        <f>IF(AN351=12,J351,0)</f>
        <v>0</v>
      </c>
      <c r="AL351" s="41">
        <f>IF(AN351=21,J351,0)</f>
        <v>0</v>
      </c>
      <c r="AN351" s="41">
        <v>12</v>
      </c>
      <c r="AO351" s="41">
        <f>G351*0.37707656612529</f>
        <v>0</v>
      </c>
      <c r="AP351" s="41">
        <f>G351*(1-0.37707656612529)</f>
        <v>0</v>
      </c>
      <c r="AQ351" s="38" t="s">
        <v>661</v>
      </c>
      <c r="AV351" s="41">
        <f>AW351+AX351</f>
        <v>0</v>
      </c>
      <c r="AW351" s="41">
        <f>F351*AO351</f>
        <v>0</v>
      </c>
      <c r="AX351" s="41">
        <f>F351*AP351</f>
        <v>0</v>
      </c>
      <c r="AY351" s="38" t="s">
        <v>739</v>
      </c>
      <c r="AZ351" s="38" t="s">
        <v>251</v>
      </c>
      <c r="BA351" s="8" t="s">
        <v>518</v>
      </c>
      <c r="BC351" s="41">
        <f>AW351+AX351</f>
        <v>0</v>
      </c>
      <c r="BD351" s="41">
        <f>G351/(100-BE351)*100</f>
        <v>0</v>
      </c>
      <c r="BE351" s="41">
        <v>0</v>
      </c>
      <c r="BF351" s="41">
        <f>351</f>
        <v>351</v>
      </c>
      <c r="BH351" s="41">
        <f>F351*AO351</f>
        <v>0</v>
      </c>
      <c r="BI351" s="41">
        <f>F351*AP351</f>
        <v>0</v>
      </c>
      <c r="BJ351" s="41">
        <f>F351*G351</f>
        <v>0</v>
      </c>
      <c r="BK351" s="41"/>
      <c r="BL351" s="41">
        <v>94</v>
      </c>
      <c r="BW351" s="41">
        <v>12</v>
      </c>
    </row>
    <row r="352" spans="1:75" ht="15" customHeight="1">
      <c r="A352" s="17"/>
      <c r="C352" s="7" t="s">
        <v>346</v>
      </c>
      <c r="D352" s="7" t="s">
        <v>469</v>
      </c>
      <c r="F352" s="52">
        <v>12.000000000000002</v>
      </c>
      <c r="K352" s="34"/>
    </row>
    <row r="353" spans="1:75" ht="15" customHeight="1">
      <c r="A353" s="11" t="s">
        <v>469</v>
      </c>
      <c r="B353" s="16" t="s">
        <v>274</v>
      </c>
      <c r="C353" s="79" t="s">
        <v>504</v>
      </c>
      <c r="D353" s="80"/>
      <c r="E353" s="58" t="s">
        <v>619</v>
      </c>
      <c r="F353" s="58" t="s">
        <v>619</v>
      </c>
      <c r="G353" s="58" t="s">
        <v>619</v>
      </c>
      <c r="H353" s="49">
        <f>SUM(H354:H356)</f>
        <v>0</v>
      </c>
      <c r="I353" s="49">
        <f>SUM(I354:I356)</f>
        <v>0</v>
      </c>
      <c r="J353" s="49">
        <f>SUM(J354:J356)</f>
        <v>0</v>
      </c>
      <c r="K353" s="32" t="s">
        <v>469</v>
      </c>
      <c r="AI353" s="8" t="s">
        <v>469</v>
      </c>
      <c r="AS353" s="49">
        <f>SUM(AJ354:AJ356)</f>
        <v>0</v>
      </c>
      <c r="AT353" s="49">
        <f>SUM(AK354:AK356)</f>
        <v>0</v>
      </c>
      <c r="AU353" s="49">
        <f>SUM(AL354:AL356)</f>
        <v>0</v>
      </c>
    </row>
    <row r="354" spans="1:75" ht="13.5" customHeight="1">
      <c r="A354" s="26" t="s">
        <v>1</v>
      </c>
      <c r="B354" s="46" t="s">
        <v>39</v>
      </c>
      <c r="C354" s="66" t="s">
        <v>67</v>
      </c>
      <c r="D354" s="63"/>
      <c r="E354" s="46" t="s">
        <v>654</v>
      </c>
      <c r="F354" s="41">
        <v>46</v>
      </c>
      <c r="G354" s="41">
        <v>0</v>
      </c>
      <c r="H354" s="41">
        <f>F354*AO354</f>
        <v>0</v>
      </c>
      <c r="I354" s="41">
        <f>F354*AP354</f>
        <v>0</v>
      </c>
      <c r="J354" s="41">
        <f>F354*G354</f>
        <v>0</v>
      </c>
      <c r="K354" s="13" t="s">
        <v>313</v>
      </c>
      <c r="Z354" s="41">
        <f>IF(AQ354="5",BJ354,0)</f>
        <v>0</v>
      </c>
      <c r="AB354" s="41">
        <f>IF(AQ354="1",BH354,0)</f>
        <v>0</v>
      </c>
      <c r="AC354" s="41">
        <f>IF(AQ354="1",BI354,0)</f>
        <v>0</v>
      </c>
      <c r="AD354" s="41">
        <f>IF(AQ354="7",BH354,0)</f>
        <v>0</v>
      </c>
      <c r="AE354" s="41">
        <f>IF(AQ354="7",BI354,0)</f>
        <v>0</v>
      </c>
      <c r="AF354" s="41">
        <f>IF(AQ354="2",BH354,0)</f>
        <v>0</v>
      </c>
      <c r="AG354" s="41">
        <f>IF(AQ354="2",BI354,0)</f>
        <v>0</v>
      </c>
      <c r="AH354" s="41">
        <f>IF(AQ354="0",BJ354,0)</f>
        <v>0</v>
      </c>
      <c r="AI354" s="8" t="s">
        <v>469</v>
      </c>
      <c r="AJ354" s="41">
        <f>IF(AN354=0,J354,0)</f>
        <v>0</v>
      </c>
      <c r="AK354" s="41">
        <f>IF(AN354=12,J354,0)</f>
        <v>0</v>
      </c>
      <c r="AL354" s="41">
        <f>IF(AN354=21,J354,0)</f>
        <v>0</v>
      </c>
      <c r="AN354" s="41">
        <v>12</v>
      </c>
      <c r="AO354" s="41">
        <f>G354*0.0222935314980578</f>
        <v>0</v>
      </c>
      <c r="AP354" s="41">
        <f>G354*(1-0.0222935314980578)</f>
        <v>0</v>
      </c>
      <c r="AQ354" s="38" t="s">
        <v>661</v>
      </c>
      <c r="AV354" s="41">
        <f>AW354+AX354</f>
        <v>0</v>
      </c>
      <c r="AW354" s="41">
        <f>F354*AO354</f>
        <v>0</v>
      </c>
      <c r="AX354" s="41">
        <f>F354*AP354</f>
        <v>0</v>
      </c>
      <c r="AY354" s="38" t="s">
        <v>414</v>
      </c>
      <c r="AZ354" s="38" t="s">
        <v>251</v>
      </c>
      <c r="BA354" s="8" t="s">
        <v>518</v>
      </c>
      <c r="BC354" s="41">
        <f>AW354+AX354</f>
        <v>0</v>
      </c>
      <c r="BD354" s="41">
        <f>G354/(100-BE354)*100</f>
        <v>0</v>
      </c>
      <c r="BE354" s="41">
        <v>0</v>
      </c>
      <c r="BF354" s="41">
        <f>354</f>
        <v>354</v>
      </c>
      <c r="BH354" s="41">
        <f>F354*AO354</f>
        <v>0</v>
      </c>
      <c r="BI354" s="41">
        <f>F354*AP354</f>
        <v>0</v>
      </c>
      <c r="BJ354" s="41">
        <f>F354*G354</f>
        <v>0</v>
      </c>
      <c r="BK354" s="41"/>
      <c r="BL354" s="41">
        <v>95</v>
      </c>
      <c r="BW354" s="41">
        <v>12</v>
      </c>
    </row>
    <row r="355" spans="1:75" ht="15" customHeight="1">
      <c r="A355" s="17"/>
      <c r="C355" s="7" t="s">
        <v>49</v>
      </c>
      <c r="D355" s="7" t="s">
        <v>469</v>
      </c>
      <c r="F355" s="52">
        <v>46.000000000000007</v>
      </c>
      <c r="K355" s="34"/>
    </row>
    <row r="356" spans="1:75" ht="13.5" customHeight="1">
      <c r="A356" s="26" t="s">
        <v>610</v>
      </c>
      <c r="B356" s="46" t="s">
        <v>377</v>
      </c>
      <c r="C356" s="66" t="s">
        <v>519</v>
      </c>
      <c r="D356" s="63"/>
      <c r="E356" s="46" t="s">
        <v>654</v>
      </c>
      <c r="F356" s="41">
        <v>90</v>
      </c>
      <c r="G356" s="41">
        <v>0</v>
      </c>
      <c r="H356" s="41">
        <f>F356*AO356</f>
        <v>0</v>
      </c>
      <c r="I356" s="41">
        <f>F356*AP356</f>
        <v>0</v>
      </c>
      <c r="J356" s="41">
        <f>F356*G356</f>
        <v>0</v>
      </c>
      <c r="K356" s="13" t="s">
        <v>313</v>
      </c>
      <c r="Z356" s="41">
        <f>IF(AQ356="5",BJ356,0)</f>
        <v>0</v>
      </c>
      <c r="AB356" s="41">
        <f>IF(AQ356="1",BH356,0)</f>
        <v>0</v>
      </c>
      <c r="AC356" s="41">
        <f>IF(AQ356="1",BI356,0)</f>
        <v>0</v>
      </c>
      <c r="AD356" s="41">
        <f>IF(AQ356="7",BH356,0)</f>
        <v>0</v>
      </c>
      <c r="AE356" s="41">
        <f>IF(AQ356="7",BI356,0)</f>
        <v>0</v>
      </c>
      <c r="AF356" s="41">
        <f>IF(AQ356="2",BH356,0)</f>
        <v>0</v>
      </c>
      <c r="AG356" s="41">
        <f>IF(AQ356="2",BI356,0)</f>
        <v>0</v>
      </c>
      <c r="AH356" s="41">
        <f>IF(AQ356="0",BJ356,0)</f>
        <v>0</v>
      </c>
      <c r="AI356" s="8" t="s">
        <v>469</v>
      </c>
      <c r="AJ356" s="41">
        <f>IF(AN356=0,J356,0)</f>
        <v>0</v>
      </c>
      <c r="AK356" s="41">
        <f>IF(AN356=12,J356,0)</f>
        <v>0</v>
      </c>
      <c r="AL356" s="41">
        <f>IF(AN356=21,J356,0)</f>
        <v>0</v>
      </c>
      <c r="AN356" s="41">
        <v>12</v>
      </c>
      <c r="AO356" s="41">
        <f>G356*0.0017741935483871</f>
        <v>0</v>
      </c>
      <c r="AP356" s="41">
        <f>G356*(1-0.0017741935483871)</f>
        <v>0</v>
      </c>
      <c r="AQ356" s="38" t="s">
        <v>661</v>
      </c>
      <c r="AV356" s="41">
        <f>AW356+AX356</f>
        <v>0</v>
      </c>
      <c r="AW356" s="41">
        <f>F356*AO356</f>
        <v>0</v>
      </c>
      <c r="AX356" s="41">
        <f>F356*AP356</f>
        <v>0</v>
      </c>
      <c r="AY356" s="38" t="s">
        <v>414</v>
      </c>
      <c r="AZ356" s="38" t="s">
        <v>251</v>
      </c>
      <c r="BA356" s="8" t="s">
        <v>518</v>
      </c>
      <c r="BC356" s="41">
        <f>AW356+AX356</f>
        <v>0</v>
      </c>
      <c r="BD356" s="41">
        <f>G356/(100-BE356)*100</f>
        <v>0</v>
      </c>
      <c r="BE356" s="41">
        <v>0</v>
      </c>
      <c r="BF356" s="41">
        <f>356</f>
        <v>356</v>
      </c>
      <c r="BH356" s="41">
        <f>F356*AO356</f>
        <v>0</v>
      </c>
      <c r="BI356" s="41">
        <f>F356*AP356</f>
        <v>0</v>
      </c>
      <c r="BJ356" s="41">
        <f>F356*G356</f>
        <v>0</v>
      </c>
      <c r="BK356" s="41"/>
      <c r="BL356" s="41">
        <v>95</v>
      </c>
      <c r="BW356" s="41">
        <v>12</v>
      </c>
    </row>
    <row r="357" spans="1:75" ht="15" customHeight="1">
      <c r="A357" s="17"/>
      <c r="C357" s="7" t="s">
        <v>559</v>
      </c>
      <c r="D357" s="7" t="s">
        <v>469</v>
      </c>
      <c r="F357" s="52">
        <v>90.000000000000014</v>
      </c>
      <c r="K357" s="34"/>
    </row>
    <row r="358" spans="1:75" ht="15" customHeight="1">
      <c r="A358" s="11" t="s">
        <v>469</v>
      </c>
      <c r="B358" s="16" t="s">
        <v>382</v>
      </c>
      <c r="C358" s="79" t="s">
        <v>505</v>
      </c>
      <c r="D358" s="80"/>
      <c r="E358" s="58" t="s">
        <v>619</v>
      </c>
      <c r="F358" s="58" t="s">
        <v>619</v>
      </c>
      <c r="G358" s="58" t="s">
        <v>619</v>
      </c>
      <c r="H358" s="49">
        <f>SUM(H359:H435)</f>
        <v>0</v>
      </c>
      <c r="I358" s="49">
        <f>SUM(I359:I435)</f>
        <v>0</v>
      </c>
      <c r="J358" s="49">
        <f>SUM(J359:J435)</f>
        <v>0</v>
      </c>
      <c r="K358" s="32" t="s">
        <v>469</v>
      </c>
      <c r="AI358" s="8" t="s">
        <v>469</v>
      </c>
      <c r="AS358" s="49">
        <f>SUM(AJ359:AJ435)</f>
        <v>0</v>
      </c>
      <c r="AT358" s="49">
        <f>SUM(AK359:AK435)</f>
        <v>0</v>
      </c>
      <c r="AU358" s="49">
        <f>SUM(AL359:AL435)</f>
        <v>0</v>
      </c>
    </row>
    <row r="359" spans="1:75" ht="13.5" customHeight="1">
      <c r="A359" s="26" t="s">
        <v>94</v>
      </c>
      <c r="B359" s="46" t="s">
        <v>557</v>
      </c>
      <c r="C359" s="66" t="s">
        <v>698</v>
      </c>
      <c r="D359" s="63"/>
      <c r="E359" s="46" t="s">
        <v>182</v>
      </c>
      <c r="F359" s="41">
        <v>41</v>
      </c>
      <c r="G359" s="41">
        <v>0</v>
      </c>
      <c r="H359" s="41">
        <f>F359*AO359</f>
        <v>0</v>
      </c>
      <c r="I359" s="41">
        <f>F359*AP359</f>
        <v>0</v>
      </c>
      <c r="J359" s="41">
        <f>F359*G359</f>
        <v>0</v>
      </c>
      <c r="K359" s="13" t="s">
        <v>313</v>
      </c>
      <c r="Z359" s="41">
        <f>IF(AQ359="5",BJ359,0)</f>
        <v>0</v>
      </c>
      <c r="AB359" s="41">
        <f>IF(AQ359="1",BH359,0)</f>
        <v>0</v>
      </c>
      <c r="AC359" s="41">
        <f>IF(AQ359="1",BI359,0)</f>
        <v>0</v>
      </c>
      <c r="AD359" s="41">
        <f>IF(AQ359="7",BH359,0)</f>
        <v>0</v>
      </c>
      <c r="AE359" s="41">
        <f>IF(AQ359="7",BI359,0)</f>
        <v>0</v>
      </c>
      <c r="AF359" s="41">
        <f>IF(AQ359="2",BH359,0)</f>
        <v>0</v>
      </c>
      <c r="AG359" s="41">
        <f>IF(AQ359="2",BI359,0)</f>
        <v>0</v>
      </c>
      <c r="AH359" s="41">
        <f>IF(AQ359="0",BJ359,0)</f>
        <v>0</v>
      </c>
      <c r="AI359" s="8" t="s">
        <v>469</v>
      </c>
      <c r="AJ359" s="41">
        <f>IF(AN359=0,J359,0)</f>
        <v>0</v>
      </c>
      <c r="AK359" s="41">
        <f>IF(AN359=12,J359,0)</f>
        <v>0</v>
      </c>
      <c r="AL359" s="41">
        <f>IF(AN359=21,J359,0)</f>
        <v>0</v>
      </c>
      <c r="AN359" s="41">
        <v>12</v>
      </c>
      <c r="AO359" s="41">
        <f>G359*0</f>
        <v>0</v>
      </c>
      <c r="AP359" s="41">
        <f>G359*(1-0)</f>
        <v>0</v>
      </c>
      <c r="AQ359" s="38" t="s">
        <v>661</v>
      </c>
      <c r="AV359" s="41">
        <f>AW359+AX359</f>
        <v>0</v>
      </c>
      <c r="AW359" s="41">
        <f>F359*AO359</f>
        <v>0</v>
      </c>
      <c r="AX359" s="41">
        <f>F359*AP359</f>
        <v>0</v>
      </c>
      <c r="AY359" s="38" t="s">
        <v>586</v>
      </c>
      <c r="AZ359" s="38" t="s">
        <v>251</v>
      </c>
      <c r="BA359" s="8" t="s">
        <v>518</v>
      </c>
      <c r="BC359" s="41">
        <f>AW359+AX359</f>
        <v>0</v>
      </c>
      <c r="BD359" s="41">
        <f>G359/(100-BE359)*100</f>
        <v>0</v>
      </c>
      <c r="BE359" s="41">
        <v>0</v>
      </c>
      <c r="BF359" s="41">
        <f>359</f>
        <v>359</v>
      </c>
      <c r="BH359" s="41">
        <f>F359*AO359</f>
        <v>0</v>
      </c>
      <c r="BI359" s="41">
        <f>F359*AP359</f>
        <v>0</v>
      </c>
      <c r="BJ359" s="41">
        <f>F359*G359</f>
        <v>0</v>
      </c>
      <c r="BK359" s="41"/>
      <c r="BL359" s="41">
        <v>96</v>
      </c>
      <c r="BW359" s="41">
        <v>12</v>
      </c>
    </row>
    <row r="360" spans="1:75" ht="15" customHeight="1">
      <c r="A360" s="17"/>
      <c r="C360" s="7" t="s">
        <v>30</v>
      </c>
      <c r="D360" s="7" t="s">
        <v>469</v>
      </c>
      <c r="F360" s="52">
        <v>2</v>
      </c>
      <c r="K360" s="34"/>
    </row>
    <row r="361" spans="1:75" ht="15" customHeight="1">
      <c r="A361" s="17"/>
      <c r="C361" s="7" t="s">
        <v>563</v>
      </c>
      <c r="D361" s="7" t="s">
        <v>469</v>
      </c>
      <c r="F361" s="52">
        <v>1</v>
      </c>
      <c r="K361" s="34"/>
    </row>
    <row r="362" spans="1:75" ht="15" customHeight="1">
      <c r="A362" s="17"/>
      <c r="C362" s="7" t="s">
        <v>734</v>
      </c>
      <c r="D362" s="7" t="s">
        <v>469</v>
      </c>
      <c r="F362" s="52">
        <v>3.0000000000000004</v>
      </c>
      <c r="K362" s="34"/>
    </row>
    <row r="363" spans="1:75" ht="15" customHeight="1">
      <c r="A363" s="17"/>
      <c r="C363" s="7" t="s">
        <v>241</v>
      </c>
      <c r="D363" s="7" t="s">
        <v>469</v>
      </c>
      <c r="F363" s="52">
        <v>3.0000000000000004</v>
      </c>
      <c r="K363" s="34"/>
    </row>
    <row r="364" spans="1:75" ht="15" customHeight="1">
      <c r="A364" s="17"/>
      <c r="C364" s="7" t="s">
        <v>169</v>
      </c>
      <c r="D364" s="7" t="s">
        <v>469</v>
      </c>
      <c r="F364" s="52">
        <v>3.0000000000000004</v>
      </c>
      <c r="K364" s="34"/>
    </row>
    <row r="365" spans="1:75" ht="15" customHeight="1">
      <c r="A365" s="17"/>
      <c r="C365" s="7" t="s">
        <v>484</v>
      </c>
      <c r="D365" s="7" t="s">
        <v>469</v>
      </c>
      <c r="F365" s="52">
        <v>3.0000000000000004</v>
      </c>
      <c r="K365" s="34"/>
    </row>
    <row r="366" spans="1:75" ht="15" customHeight="1">
      <c r="A366" s="17"/>
      <c r="C366" s="7" t="s">
        <v>141</v>
      </c>
      <c r="D366" s="7" t="s">
        <v>469</v>
      </c>
      <c r="F366" s="52">
        <v>3.0000000000000004</v>
      </c>
      <c r="K366" s="34"/>
    </row>
    <row r="367" spans="1:75" ht="15" customHeight="1">
      <c r="A367" s="17"/>
      <c r="C367" s="7" t="s">
        <v>275</v>
      </c>
      <c r="D367" s="7" t="s">
        <v>469</v>
      </c>
      <c r="F367" s="52">
        <v>1</v>
      </c>
      <c r="K367" s="34"/>
    </row>
    <row r="368" spans="1:75" ht="15" customHeight="1">
      <c r="A368" s="17"/>
      <c r="C368" s="7" t="s">
        <v>464</v>
      </c>
      <c r="D368" s="7" t="s">
        <v>469</v>
      </c>
      <c r="F368" s="52">
        <v>3.0000000000000004</v>
      </c>
      <c r="K368" s="34"/>
    </row>
    <row r="369" spans="1:75" ht="15" customHeight="1">
      <c r="A369" s="17"/>
      <c r="C369" s="7" t="s">
        <v>2</v>
      </c>
      <c r="D369" s="7" t="s">
        <v>469</v>
      </c>
      <c r="F369" s="52">
        <v>3.0000000000000004</v>
      </c>
      <c r="K369" s="34"/>
    </row>
    <row r="370" spans="1:75" ht="15" customHeight="1">
      <c r="A370" s="17"/>
      <c r="C370" s="7" t="s">
        <v>388</v>
      </c>
      <c r="D370" s="7" t="s">
        <v>469</v>
      </c>
      <c r="F370" s="52">
        <v>3.0000000000000004</v>
      </c>
      <c r="K370" s="34"/>
    </row>
    <row r="371" spans="1:75" ht="15" customHeight="1">
      <c r="A371" s="17"/>
      <c r="C371" s="7" t="s">
        <v>688</v>
      </c>
      <c r="D371" s="7" t="s">
        <v>469</v>
      </c>
      <c r="F371" s="52">
        <v>2</v>
      </c>
      <c r="K371" s="34"/>
    </row>
    <row r="372" spans="1:75" ht="15" customHeight="1">
      <c r="A372" s="17"/>
      <c r="C372" s="7" t="s">
        <v>390</v>
      </c>
      <c r="D372" s="7" t="s">
        <v>469</v>
      </c>
      <c r="F372" s="52">
        <v>1</v>
      </c>
      <c r="K372" s="34"/>
    </row>
    <row r="373" spans="1:75" ht="15" customHeight="1">
      <c r="A373" s="17"/>
      <c r="C373" s="7" t="s">
        <v>517</v>
      </c>
      <c r="D373" s="7" t="s">
        <v>469</v>
      </c>
      <c r="F373" s="52">
        <v>2</v>
      </c>
      <c r="K373" s="34"/>
    </row>
    <row r="374" spans="1:75" ht="15" customHeight="1">
      <c r="A374" s="17"/>
      <c r="C374" s="7" t="s">
        <v>562</v>
      </c>
      <c r="D374" s="7" t="s">
        <v>469</v>
      </c>
      <c r="F374" s="52">
        <v>2</v>
      </c>
      <c r="K374" s="34"/>
    </row>
    <row r="375" spans="1:75" ht="15" customHeight="1">
      <c r="A375" s="17"/>
      <c r="C375" s="7" t="s">
        <v>200</v>
      </c>
      <c r="D375" s="7" t="s">
        <v>469</v>
      </c>
      <c r="F375" s="52">
        <v>2</v>
      </c>
      <c r="K375" s="34"/>
    </row>
    <row r="376" spans="1:75" ht="15" customHeight="1">
      <c r="A376" s="17"/>
      <c r="C376" s="7" t="s">
        <v>749</v>
      </c>
      <c r="D376" s="7" t="s">
        <v>469</v>
      </c>
      <c r="F376" s="52">
        <v>1</v>
      </c>
      <c r="K376" s="34"/>
    </row>
    <row r="377" spans="1:75" ht="15" customHeight="1">
      <c r="A377" s="17"/>
      <c r="C377" s="7" t="s">
        <v>419</v>
      </c>
      <c r="D377" s="7" t="s">
        <v>469</v>
      </c>
      <c r="F377" s="52">
        <v>2</v>
      </c>
      <c r="K377" s="34"/>
    </row>
    <row r="378" spans="1:75" ht="15" customHeight="1">
      <c r="A378" s="17"/>
      <c r="C378" s="7" t="s">
        <v>256</v>
      </c>
      <c r="D378" s="7" t="s">
        <v>469</v>
      </c>
      <c r="F378" s="52">
        <v>1</v>
      </c>
      <c r="K378" s="34"/>
    </row>
    <row r="379" spans="1:75" ht="13.5" customHeight="1">
      <c r="A379" s="26" t="s">
        <v>274</v>
      </c>
      <c r="B379" s="46" t="s">
        <v>525</v>
      </c>
      <c r="C379" s="66" t="s">
        <v>174</v>
      </c>
      <c r="D379" s="63"/>
      <c r="E379" s="46" t="s">
        <v>182</v>
      </c>
      <c r="F379" s="41">
        <v>1</v>
      </c>
      <c r="G379" s="41">
        <v>0</v>
      </c>
      <c r="H379" s="41">
        <f>F379*AO379</f>
        <v>0</v>
      </c>
      <c r="I379" s="41">
        <f>F379*AP379</f>
        <v>0</v>
      </c>
      <c r="J379" s="41">
        <f>F379*G379</f>
        <v>0</v>
      </c>
      <c r="K379" s="13" t="s">
        <v>313</v>
      </c>
      <c r="Z379" s="41">
        <f>IF(AQ379="5",BJ379,0)</f>
        <v>0</v>
      </c>
      <c r="AB379" s="41">
        <f>IF(AQ379="1",BH379,0)</f>
        <v>0</v>
      </c>
      <c r="AC379" s="41">
        <f>IF(AQ379="1",BI379,0)</f>
        <v>0</v>
      </c>
      <c r="AD379" s="41">
        <f>IF(AQ379="7",BH379,0)</f>
        <v>0</v>
      </c>
      <c r="AE379" s="41">
        <f>IF(AQ379="7",BI379,0)</f>
        <v>0</v>
      </c>
      <c r="AF379" s="41">
        <f>IF(AQ379="2",BH379,0)</f>
        <v>0</v>
      </c>
      <c r="AG379" s="41">
        <f>IF(AQ379="2",BI379,0)</f>
        <v>0</v>
      </c>
      <c r="AH379" s="41">
        <f>IF(AQ379="0",BJ379,0)</f>
        <v>0</v>
      </c>
      <c r="AI379" s="8" t="s">
        <v>469</v>
      </c>
      <c r="AJ379" s="41">
        <f>IF(AN379=0,J379,0)</f>
        <v>0</v>
      </c>
      <c r="AK379" s="41">
        <f>IF(AN379=12,J379,0)</f>
        <v>0</v>
      </c>
      <c r="AL379" s="41">
        <f>IF(AN379=21,J379,0)</f>
        <v>0</v>
      </c>
      <c r="AN379" s="41">
        <v>12</v>
      </c>
      <c r="AO379" s="41">
        <f>G379*0</f>
        <v>0</v>
      </c>
      <c r="AP379" s="41">
        <f>G379*(1-0)</f>
        <v>0</v>
      </c>
      <c r="AQ379" s="38" t="s">
        <v>661</v>
      </c>
      <c r="AV379" s="41">
        <f>AW379+AX379</f>
        <v>0</v>
      </c>
      <c r="AW379" s="41">
        <f>F379*AO379</f>
        <v>0</v>
      </c>
      <c r="AX379" s="41">
        <f>F379*AP379</f>
        <v>0</v>
      </c>
      <c r="AY379" s="38" t="s">
        <v>586</v>
      </c>
      <c r="AZ379" s="38" t="s">
        <v>251</v>
      </c>
      <c r="BA379" s="8" t="s">
        <v>518</v>
      </c>
      <c r="BC379" s="41">
        <f>AW379+AX379</f>
        <v>0</v>
      </c>
      <c r="BD379" s="41">
        <f>G379/(100-BE379)*100</f>
        <v>0</v>
      </c>
      <c r="BE379" s="41">
        <v>0</v>
      </c>
      <c r="BF379" s="41">
        <f>379</f>
        <v>379</v>
      </c>
      <c r="BH379" s="41">
        <f>F379*AO379</f>
        <v>0</v>
      </c>
      <c r="BI379" s="41">
        <f>F379*AP379</f>
        <v>0</v>
      </c>
      <c r="BJ379" s="41">
        <f>F379*G379</f>
        <v>0</v>
      </c>
      <c r="BK379" s="41"/>
      <c r="BL379" s="41">
        <v>96</v>
      </c>
      <c r="BW379" s="41">
        <v>12</v>
      </c>
    </row>
    <row r="380" spans="1:75" ht="15" customHeight="1">
      <c r="A380" s="17"/>
      <c r="C380" s="7" t="s">
        <v>191</v>
      </c>
      <c r="D380" s="7" t="s">
        <v>469</v>
      </c>
      <c r="F380" s="52">
        <v>1</v>
      </c>
      <c r="K380" s="34"/>
    </row>
    <row r="381" spans="1:75" ht="13.5" customHeight="1">
      <c r="A381" s="26" t="s">
        <v>382</v>
      </c>
      <c r="B381" s="46" t="s">
        <v>489</v>
      </c>
      <c r="C381" s="66" t="s">
        <v>569</v>
      </c>
      <c r="D381" s="63"/>
      <c r="E381" s="46" t="s">
        <v>654</v>
      </c>
      <c r="F381" s="41">
        <v>3.7014499999999999</v>
      </c>
      <c r="G381" s="41">
        <v>0</v>
      </c>
      <c r="H381" s="41">
        <f>F381*AO381</f>
        <v>0</v>
      </c>
      <c r="I381" s="41">
        <f>F381*AP381</f>
        <v>0</v>
      </c>
      <c r="J381" s="41">
        <f>F381*G381</f>
        <v>0</v>
      </c>
      <c r="K381" s="13" t="s">
        <v>313</v>
      </c>
      <c r="Z381" s="41">
        <f>IF(AQ381="5",BJ381,0)</f>
        <v>0</v>
      </c>
      <c r="AB381" s="41">
        <f>IF(AQ381="1",BH381,0)</f>
        <v>0</v>
      </c>
      <c r="AC381" s="41">
        <f>IF(AQ381="1",BI381,0)</f>
        <v>0</v>
      </c>
      <c r="AD381" s="41">
        <f>IF(AQ381="7",BH381,0)</f>
        <v>0</v>
      </c>
      <c r="AE381" s="41">
        <f>IF(AQ381="7",BI381,0)</f>
        <v>0</v>
      </c>
      <c r="AF381" s="41">
        <f>IF(AQ381="2",BH381,0)</f>
        <v>0</v>
      </c>
      <c r="AG381" s="41">
        <f>IF(AQ381="2",BI381,0)</f>
        <v>0</v>
      </c>
      <c r="AH381" s="41">
        <f>IF(AQ381="0",BJ381,0)</f>
        <v>0</v>
      </c>
      <c r="AI381" s="8" t="s">
        <v>469</v>
      </c>
      <c r="AJ381" s="41">
        <f>IF(AN381=0,J381,0)</f>
        <v>0</v>
      </c>
      <c r="AK381" s="41">
        <f>IF(AN381=12,J381,0)</f>
        <v>0</v>
      </c>
      <c r="AL381" s="41">
        <f>IF(AN381=21,J381,0)</f>
        <v>0</v>
      </c>
      <c r="AN381" s="41">
        <v>12</v>
      </c>
      <c r="AO381" s="41">
        <f>G381*0.209596946743783</f>
        <v>0</v>
      </c>
      <c r="AP381" s="41">
        <f>G381*(1-0.209596946743783)</f>
        <v>0</v>
      </c>
      <c r="AQ381" s="38" t="s">
        <v>661</v>
      </c>
      <c r="AV381" s="41">
        <f>AW381+AX381</f>
        <v>0</v>
      </c>
      <c r="AW381" s="41">
        <f>F381*AO381</f>
        <v>0</v>
      </c>
      <c r="AX381" s="41">
        <f>F381*AP381</f>
        <v>0</v>
      </c>
      <c r="AY381" s="38" t="s">
        <v>586</v>
      </c>
      <c r="AZ381" s="38" t="s">
        <v>251</v>
      </c>
      <c r="BA381" s="8" t="s">
        <v>518</v>
      </c>
      <c r="BC381" s="41">
        <f>AW381+AX381</f>
        <v>0</v>
      </c>
      <c r="BD381" s="41">
        <f>G381/(100-BE381)*100</f>
        <v>0</v>
      </c>
      <c r="BE381" s="41">
        <v>0</v>
      </c>
      <c r="BF381" s="41">
        <f>381</f>
        <v>381</v>
      </c>
      <c r="BH381" s="41">
        <f>F381*AO381</f>
        <v>0</v>
      </c>
      <c r="BI381" s="41">
        <f>F381*AP381</f>
        <v>0</v>
      </c>
      <c r="BJ381" s="41">
        <f>F381*G381</f>
        <v>0</v>
      </c>
      <c r="BK381" s="41"/>
      <c r="BL381" s="41">
        <v>96</v>
      </c>
      <c r="BW381" s="41">
        <v>12</v>
      </c>
    </row>
    <row r="382" spans="1:75" ht="15" customHeight="1">
      <c r="A382" s="17"/>
      <c r="C382" s="7" t="s">
        <v>757</v>
      </c>
      <c r="D382" s="7" t="s">
        <v>469</v>
      </c>
      <c r="F382" s="52">
        <v>0.46400000000000002</v>
      </c>
      <c r="K382" s="34"/>
    </row>
    <row r="383" spans="1:75" ht="15" customHeight="1">
      <c r="A383" s="17"/>
      <c r="C383" s="7" t="s">
        <v>621</v>
      </c>
      <c r="D383" s="7" t="s">
        <v>469</v>
      </c>
      <c r="F383" s="52">
        <v>1.2679500000000001</v>
      </c>
      <c r="K383" s="34"/>
    </row>
    <row r="384" spans="1:75" ht="15" customHeight="1">
      <c r="A384" s="17"/>
      <c r="C384" s="7" t="s">
        <v>451</v>
      </c>
      <c r="D384" s="7" t="s">
        <v>469</v>
      </c>
      <c r="F384" s="52">
        <v>0.71550000000000002</v>
      </c>
      <c r="K384" s="34"/>
    </row>
    <row r="385" spans="1:75" ht="15" customHeight="1">
      <c r="A385" s="17"/>
      <c r="C385" s="7" t="s">
        <v>54</v>
      </c>
      <c r="D385" s="7" t="s">
        <v>469</v>
      </c>
      <c r="F385" s="52">
        <v>0.624</v>
      </c>
      <c r="K385" s="34"/>
    </row>
    <row r="386" spans="1:75" ht="15" customHeight="1">
      <c r="A386" s="17"/>
      <c r="C386" s="7" t="s">
        <v>212</v>
      </c>
      <c r="D386" s="7" t="s">
        <v>469</v>
      </c>
      <c r="F386" s="52">
        <v>0.30000000000000004</v>
      </c>
      <c r="K386" s="34"/>
    </row>
    <row r="387" spans="1:75" ht="15" customHeight="1">
      <c r="A387" s="17"/>
      <c r="C387" s="7" t="s">
        <v>93</v>
      </c>
      <c r="D387" s="7" t="s">
        <v>469</v>
      </c>
      <c r="F387" s="52">
        <v>0.33</v>
      </c>
      <c r="K387" s="34"/>
    </row>
    <row r="388" spans="1:75" ht="13.5" customHeight="1">
      <c r="A388" s="26" t="s">
        <v>92</v>
      </c>
      <c r="B388" s="46" t="s">
        <v>567</v>
      </c>
      <c r="C388" s="66" t="s">
        <v>335</v>
      </c>
      <c r="D388" s="63"/>
      <c r="E388" s="46" t="s">
        <v>654</v>
      </c>
      <c r="F388" s="41">
        <v>14.55565</v>
      </c>
      <c r="G388" s="41">
        <v>0</v>
      </c>
      <c r="H388" s="41">
        <f>F388*AO388</f>
        <v>0</v>
      </c>
      <c r="I388" s="41">
        <f>F388*AP388</f>
        <v>0</v>
      </c>
      <c r="J388" s="41">
        <f>F388*G388</f>
        <v>0</v>
      </c>
      <c r="K388" s="13" t="s">
        <v>313</v>
      </c>
      <c r="Z388" s="41">
        <f>IF(AQ388="5",BJ388,0)</f>
        <v>0</v>
      </c>
      <c r="AB388" s="41">
        <f>IF(AQ388="1",BH388,0)</f>
        <v>0</v>
      </c>
      <c r="AC388" s="41">
        <f>IF(AQ388="1",BI388,0)</f>
        <v>0</v>
      </c>
      <c r="AD388" s="41">
        <f>IF(AQ388="7",BH388,0)</f>
        <v>0</v>
      </c>
      <c r="AE388" s="41">
        <f>IF(AQ388="7",BI388,0)</f>
        <v>0</v>
      </c>
      <c r="AF388" s="41">
        <f>IF(AQ388="2",BH388,0)</f>
        <v>0</v>
      </c>
      <c r="AG388" s="41">
        <f>IF(AQ388="2",BI388,0)</f>
        <v>0</v>
      </c>
      <c r="AH388" s="41">
        <f>IF(AQ388="0",BJ388,0)</f>
        <v>0</v>
      </c>
      <c r="AI388" s="8" t="s">
        <v>469</v>
      </c>
      <c r="AJ388" s="41">
        <f>IF(AN388=0,J388,0)</f>
        <v>0</v>
      </c>
      <c r="AK388" s="41">
        <f>IF(AN388=12,J388,0)</f>
        <v>0</v>
      </c>
      <c r="AL388" s="41">
        <f>IF(AN388=21,J388,0)</f>
        <v>0</v>
      </c>
      <c r="AN388" s="41">
        <v>12</v>
      </c>
      <c r="AO388" s="41">
        <f>G388*0.110014706689058</f>
        <v>0</v>
      </c>
      <c r="AP388" s="41">
        <f>G388*(1-0.110014706689058)</f>
        <v>0</v>
      </c>
      <c r="AQ388" s="38" t="s">
        <v>661</v>
      </c>
      <c r="AV388" s="41">
        <f>AW388+AX388</f>
        <v>0</v>
      </c>
      <c r="AW388" s="41">
        <f>F388*AO388</f>
        <v>0</v>
      </c>
      <c r="AX388" s="41">
        <f>F388*AP388</f>
        <v>0</v>
      </c>
      <c r="AY388" s="38" t="s">
        <v>586</v>
      </c>
      <c r="AZ388" s="38" t="s">
        <v>251</v>
      </c>
      <c r="BA388" s="8" t="s">
        <v>518</v>
      </c>
      <c r="BC388" s="41">
        <f>AW388+AX388</f>
        <v>0</v>
      </c>
      <c r="BD388" s="41">
        <f>G388/(100-BE388)*100</f>
        <v>0</v>
      </c>
      <c r="BE388" s="41">
        <v>0</v>
      </c>
      <c r="BF388" s="41">
        <f>388</f>
        <v>388</v>
      </c>
      <c r="BH388" s="41">
        <f>F388*AO388</f>
        <v>0</v>
      </c>
      <c r="BI388" s="41">
        <f>F388*AP388</f>
        <v>0</v>
      </c>
      <c r="BJ388" s="41">
        <f>F388*G388</f>
        <v>0</v>
      </c>
      <c r="BK388" s="41"/>
      <c r="BL388" s="41">
        <v>96</v>
      </c>
      <c r="BW388" s="41">
        <v>12</v>
      </c>
    </row>
    <row r="389" spans="1:75" ht="15" customHeight="1">
      <c r="A389" s="17"/>
      <c r="C389" s="7" t="s">
        <v>438</v>
      </c>
      <c r="D389" s="7" t="s">
        <v>469</v>
      </c>
      <c r="F389" s="52">
        <v>2.8800000000000003</v>
      </c>
      <c r="K389" s="34"/>
    </row>
    <row r="390" spans="1:75" ht="15" customHeight="1">
      <c r="A390" s="17"/>
      <c r="C390" s="7" t="s">
        <v>708</v>
      </c>
      <c r="D390" s="7" t="s">
        <v>469</v>
      </c>
      <c r="F390" s="52">
        <v>1.2735000000000001</v>
      </c>
      <c r="K390" s="34"/>
    </row>
    <row r="391" spans="1:75" ht="15" customHeight="1">
      <c r="A391" s="17"/>
      <c r="C391" s="7" t="s">
        <v>263</v>
      </c>
      <c r="D391" s="7" t="s">
        <v>469</v>
      </c>
      <c r="F391" s="52">
        <v>3.6507000000000005</v>
      </c>
      <c r="K391" s="34"/>
    </row>
    <row r="392" spans="1:75" ht="15" customHeight="1">
      <c r="A392" s="17"/>
      <c r="C392" s="7" t="s">
        <v>210</v>
      </c>
      <c r="D392" s="7" t="s">
        <v>469</v>
      </c>
      <c r="F392" s="52">
        <v>1.6193500000000001</v>
      </c>
      <c r="K392" s="34"/>
    </row>
    <row r="393" spans="1:75" ht="15" customHeight="1">
      <c r="A393" s="17"/>
      <c r="C393" s="7" t="s">
        <v>545</v>
      </c>
      <c r="D393" s="7" t="s">
        <v>469</v>
      </c>
      <c r="F393" s="52">
        <v>1.7316000000000003</v>
      </c>
      <c r="K393" s="34"/>
    </row>
    <row r="394" spans="1:75" ht="15" customHeight="1">
      <c r="A394" s="17"/>
      <c r="C394" s="7" t="s">
        <v>29</v>
      </c>
      <c r="D394" s="7" t="s">
        <v>469</v>
      </c>
      <c r="F394" s="52">
        <v>1.6905000000000001</v>
      </c>
      <c r="K394" s="34"/>
    </row>
    <row r="395" spans="1:75" ht="15" customHeight="1">
      <c r="A395" s="17"/>
      <c r="C395" s="7" t="s">
        <v>347</v>
      </c>
      <c r="D395" s="7" t="s">
        <v>469</v>
      </c>
      <c r="F395" s="52">
        <v>1.7100000000000002</v>
      </c>
      <c r="K395" s="34"/>
    </row>
    <row r="396" spans="1:75" ht="13.5" customHeight="1">
      <c r="A396" s="26" t="s">
        <v>477</v>
      </c>
      <c r="B396" s="46" t="s">
        <v>400</v>
      </c>
      <c r="C396" s="66" t="s">
        <v>110</v>
      </c>
      <c r="D396" s="63"/>
      <c r="E396" s="46" t="s">
        <v>654</v>
      </c>
      <c r="F396" s="41">
        <v>20.594619999999999</v>
      </c>
      <c r="G396" s="41">
        <v>0</v>
      </c>
      <c r="H396" s="41">
        <f>F396*AO396</f>
        <v>0</v>
      </c>
      <c r="I396" s="41">
        <f>F396*AP396</f>
        <v>0</v>
      </c>
      <c r="J396" s="41">
        <f>F396*G396</f>
        <v>0</v>
      </c>
      <c r="K396" s="13" t="s">
        <v>313</v>
      </c>
      <c r="Z396" s="41">
        <f>IF(AQ396="5",BJ396,0)</f>
        <v>0</v>
      </c>
      <c r="AB396" s="41">
        <f>IF(AQ396="1",BH396,0)</f>
        <v>0</v>
      </c>
      <c r="AC396" s="41">
        <f>IF(AQ396="1",BI396,0)</f>
        <v>0</v>
      </c>
      <c r="AD396" s="41">
        <f>IF(AQ396="7",BH396,0)</f>
        <v>0</v>
      </c>
      <c r="AE396" s="41">
        <f>IF(AQ396="7",BI396,0)</f>
        <v>0</v>
      </c>
      <c r="AF396" s="41">
        <f>IF(AQ396="2",BH396,0)</f>
        <v>0</v>
      </c>
      <c r="AG396" s="41">
        <f>IF(AQ396="2",BI396,0)</f>
        <v>0</v>
      </c>
      <c r="AH396" s="41">
        <f>IF(AQ396="0",BJ396,0)</f>
        <v>0</v>
      </c>
      <c r="AI396" s="8" t="s">
        <v>469</v>
      </c>
      <c r="AJ396" s="41">
        <f>IF(AN396=0,J396,0)</f>
        <v>0</v>
      </c>
      <c r="AK396" s="41">
        <f>IF(AN396=12,J396,0)</f>
        <v>0</v>
      </c>
      <c r="AL396" s="41">
        <f>IF(AN396=21,J396,0)</f>
        <v>0</v>
      </c>
      <c r="AN396" s="41">
        <v>12</v>
      </c>
      <c r="AO396" s="41">
        <f>G396*0.136395943792918</f>
        <v>0</v>
      </c>
      <c r="AP396" s="41">
        <f>G396*(1-0.136395943792918)</f>
        <v>0</v>
      </c>
      <c r="AQ396" s="38" t="s">
        <v>661</v>
      </c>
      <c r="AV396" s="41">
        <f>AW396+AX396</f>
        <v>0</v>
      </c>
      <c r="AW396" s="41">
        <f>F396*AO396</f>
        <v>0</v>
      </c>
      <c r="AX396" s="41">
        <f>F396*AP396</f>
        <v>0</v>
      </c>
      <c r="AY396" s="38" t="s">
        <v>586</v>
      </c>
      <c r="AZ396" s="38" t="s">
        <v>251</v>
      </c>
      <c r="BA396" s="8" t="s">
        <v>518</v>
      </c>
      <c r="BC396" s="41">
        <f>AW396+AX396</f>
        <v>0</v>
      </c>
      <c r="BD396" s="41">
        <f>G396/(100-BE396)*100</f>
        <v>0</v>
      </c>
      <c r="BE396" s="41">
        <v>0</v>
      </c>
      <c r="BF396" s="41">
        <f>396</f>
        <v>396</v>
      </c>
      <c r="BH396" s="41">
        <f>F396*AO396</f>
        <v>0</v>
      </c>
      <c r="BI396" s="41">
        <f>F396*AP396</f>
        <v>0</v>
      </c>
      <c r="BJ396" s="41">
        <f>F396*G396</f>
        <v>0</v>
      </c>
      <c r="BK396" s="41"/>
      <c r="BL396" s="41">
        <v>96</v>
      </c>
      <c r="BW396" s="41">
        <v>12</v>
      </c>
    </row>
    <row r="397" spans="1:75" ht="15" customHeight="1">
      <c r="A397" s="17"/>
      <c r="C397" s="7" t="s">
        <v>666</v>
      </c>
      <c r="D397" s="7" t="s">
        <v>469</v>
      </c>
      <c r="F397" s="52">
        <v>2.8936700000000002</v>
      </c>
      <c r="K397" s="34"/>
    </row>
    <row r="398" spans="1:75" ht="15" customHeight="1">
      <c r="A398" s="17"/>
      <c r="C398" s="7" t="s">
        <v>165</v>
      </c>
      <c r="D398" s="7" t="s">
        <v>469</v>
      </c>
      <c r="F398" s="52">
        <v>3.4333500000000003</v>
      </c>
      <c r="K398" s="34"/>
    </row>
    <row r="399" spans="1:75" ht="15" customHeight="1">
      <c r="A399" s="17"/>
      <c r="C399" s="7" t="s">
        <v>719</v>
      </c>
      <c r="D399" s="7" t="s">
        <v>469</v>
      </c>
      <c r="F399" s="52">
        <v>2.2720000000000002</v>
      </c>
      <c r="K399" s="34"/>
    </row>
    <row r="400" spans="1:75" ht="15" customHeight="1">
      <c r="A400" s="17"/>
      <c r="C400" s="7" t="s">
        <v>694</v>
      </c>
      <c r="D400" s="7" t="s">
        <v>469</v>
      </c>
      <c r="F400" s="52">
        <v>3.4200000000000004</v>
      </c>
      <c r="K400" s="34"/>
    </row>
    <row r="401" spans="1:75" ht="15" customHeight="1">
      <c r="A401" s="17"/>
      <c r="C401" s="7" t="s">
        <v>204</v>
      </c>
      <c r="D401" s="7" t="s">
        <v>469</v>
      </c>
      <c r="F401" s="52">
        <v>2.8840000000000003</v>
      </c>
      <c r="K401" s="34"/>
    </row>
    <row r="402" spans="1:75" ht="15" customHeight="1">
      <c r="A402" s="17"/>
      <c r="C402" s="7" t="s">
        <v>670</v>
      </c>
      <c r="D402" s="7" t="s">
        <v>469</v>
      </c>
      <c r="F402" s="52">
        <v>2.8560000000000003</v>
      </c>
      <c r="K402" s="34"/>
    </row>
    <row r="403" spans="1:75" ht="15" customHeight="1">
      <c r="A403" s="17"/>
      <c r="C403" s="7" t="s">
        <v>185</v>
      </c>
      <c r="D403" s="7" t="s">
        <v>469</v>
      </c>
      <c r="F403" s="52">
        <v>2.8356000000000003</v>
      </c>
      <c r="K403" s="34"/>
    </row>
    <row r="404" spans="1:75" ht="13.5" customHeight="1">
      <c r="A404" s="26" t="s">
        <v>330</v>
      </c>
      <c r="B404" s="46" t="s">
        <v>581</v>
      </c>
      <c r="C404" s="66" t="s">
        <v>65</v>
      </c>
      <c r="D404" s="63"/>
      <c r="E404" s="46" t="s">
        <v>556</v>
      </c>
      <c r="F404" s="41">
        <v>24.55</v>
      </c>
      <c r="G404" s="41">
        <v>0</v>
      </c>
      <c r="H404" s="41">
        <f>F404*AO404</f>
        <v>0</v>
      </c>
      <c r="I404" s="41">
        <f>F404*AP404</f>
        <v>0</v>
      </c>
      <c r="J404" s="41">
        <f>F404*G404</f>
        <v>0</v>
      </c>
      <c r="K404" s="13" t="s">
        <v>313</v>
      </c>
      <c r="Z404" s="41">
        <f>IF(AQ404="5",BJ404,0)</f>
        <v>0</v>
      </c>
      <c r="AB404" s="41">
        <f>IF(AQ404="1",BH404,0)</f>
        <v>0</v>
      </c>
      <c r="AC404" s="41">
        <f>IF(AQ404="1",BI404,0)</f>
        <v>0</v>
      </c>
      <c r="AD404" s="41">
        <f>IF(AQ404="7",BH404,0)</f>
        <v>0</v>
      </c>
      <c r="AE404" s="41">
        <f>IF(AQ404="7",BI404,0)</f>
        <v>0</v>
      </c>
      <c r="AF404" s="41">
        <f>IF(AQ404="2",BH404,0)</f>
        <v>0</v>
      </c>
      <c r="AG404" s="41">
        <f>IF(AQ404="2",BI404,0)</f>
        <v>0</v>
      </c>
      <c r="AH404" s="41">
        <f>IF(AQ404="0",BJ404,0)</f>
        <v>0</v>
      </c>
      <c r="AI404" s="8" t="s">
        <v>469</v>
      </c>
      <c r="AJ404" s="41">
        <f>IF(AN404=0,J404,0)</f>
        <v>0</v>
      </c>
      <c r="AK404" s="41">
        <f>IF(AN404=12,J404,0)</f>
        <v>0</v>
      </c>
      <c r="AL404" s="41">
        <f>IF(AN404=21,J404,0)</f>
        <v>0</v>
      </c>
      <c r="AN404" s="41">
        <v>12</v>
      </c>
      <c r="AO404" s="41">
        <f>G404*0</f>
        <v>0</v>
      </c>
      <c r="AP404" s="41">
        <f>G404*(1-0)</f>
        <v>0</v>
      </c>
      <c r="AQ404" s="38" t="s">
        <v>661</v>
      </c>
      <c r="AV404" s="41">
        <f>AW404+AX404</f>
        <v>0</v>
      </c>
      <c r="AW404" s="41">
        <f>F404*AO404</f>
        <v>0</v>
      </c>
      <c r="AX404" s="41">
        <f>F404*AP404</f>
        <v>0</v>
      </c>
      <c r="AY404" s="38" t="s">
        <v>586</v>
      </c>
      <c r="AZ404" s="38" t="s">
        <v>251</v>
      </c>
      <c r="BA404" s="8" t="s">
        <v>518</v>
      </c>
      <c r="BC404" s="41">
        <f>AW404+AX404</f>
        <v>0</v>
      </c>
      <c r="BD404" s="41">
        <f>G404/(100-BE404)*100</f>
        <v>0</v>
      </c>
      <c r="BE404" s="41">
        <v>0</v>
      </c>
      <c r="BF404" s="41">
        <f>404</f>
        <v>404</v>
      </c>
      <c r="BH404" s="41">
        <f>F404*AO404</f>
        <v>0</v>
      </c>
      <c r="BI404" s="41">
        <f>F404*AP404</f>
        <v>0</v>
      </c>
      <c r="BJ404" s="41">
        <f>F404*G404</f>
        <v>0</v>
      </c>
      <c r="BK404" s="41"/>
      <c r="BL404" s="41">
        <v>96</v>
      </c>
      <c r="BW404" s="41">
        <v>12</v>
      </c>
    </row>
    <row r="405" spans="1:75" ht="15" customHeight="1">
      <c r="A405" s="17"/>
      <c r="C405" s="7" t="s">
        <v>711</v>
      </c>
      <c r="D405" s="7" t="s">
        <v>469</v>
      </c>
      <c r="F405" s="52">
        <v>1.8</v>
      </c>
      <c r="K405" s="34"/>
    </row>
    <row r="406" spans="1:75" ht="15" customHeight="1">
      <c r="A406" s="17"/>
      <c r="C406" s="7" t="s">
        <v>156</v>
      </c>
      <c r="D406" s="7" t="s">
        <v>469</v>
      </c>
      <c r="F406" s="52">
        <v>0.58000000000000007</v>
      </c>
      <c r="K406" s="34"/>
    </row>
    <row r="407" spans="1:75" ht="15" customHeight="1">
      <c r="A407" s="17"/>
      <c r="C407" s="7" t="s">
        <v>539</v>
      </c>
      <c r="D407" s="7" t="s">
        <v>469</v>
      </c>
      <c r="F407" s="52">
        <v>2.0450000000000004</v>
      </c>
      <c r="K407" s="34"/>
    </row>
    <row r="408" spans="1:75" ht="15" customHeight="1">
      <c r="A408" s="17"/>
      <c r="C408" s="7" t="s">
        <v>386</v>
      </c>
      <c r="D408" s="7" t="s">
        <v>469</v>
      </c>
      <c r="F408" s="52">
        <v>2.4350000000000001</v>
      </c>
      <c r="K408" s="34"/>
    </row>
    <row r="409" spans="1:75" ht="15" customHeight="1">
      <c r="A409" s="17"/>
      <c r="C409" s="7" t="s">
        <v>334</v>
      </c>
      <c r="D409" s="7" t="s">
        <v>469</v>
      </c>
      <c r="F409" s="52">
        <v>1.4200000000000002</v>
      </c>
      <c r="K409" s="34"/>
    </row>
    <row r="410" spans="1:75" ht="15" customHeight="1">
      <c r="A410" s="17"/>
      <c r="C410" s="7" t="s">
        <v>85</v>
      </c>
      <c r="D410" s="7" t="s">
        <v>469</v>
      </c>
      <c r="F410" s="52">
        <v>2.4000000000000004</v>
      </c>
      <c r="K410" s="34"/>
    </row>
    <row r="411" spans="1:75" ht="15" customHeight="1">
      <c r="A411" s="17"/>
      <c r="C411" s="7" t="s">
        <v>605</v>
      </c>
      <c r="D411" s="7" t="s">
        <v>469</v>
      </c>
      <c r="F411" s="52">
        <v>2.06</v>
      </c>
      <c r="K411" s="34"/>
    </row>
    <row r="412" spans="1:75" ht="15" customHeight="1">
      <c r="A412" s="17"/>
      <c r="C412" s="7" t="s">
        <v>96</v>
      </c>
      <c r="D412" s="7" t="s">
        <v>469</v>
      </c>
      <c r="F412" s="52">
        <v>1.6050000000000002</v>
      </c>
      <c r="K412" s="34"/>
    </row>
    <row r="413" spans="1:75" ht="15" customHeight="1">
      <c r="A413" s="17"/>
      <c r="C413" s="7" t="s">
        <v>229</v>
      </c>
      <c r="D413" s="7" t="s">
        <v>469</v>
      </c>
      <c r="F413" s="52">
        <v>2.04</v>
      </c>
      <c r="K413" s="34"/>
    </row>
    <row r="414" spans="1:75" ht="15" customHeight="1">
      <c r="A414" s="17"/>
      <c r="C414" s="7" t="s">
        <v>331</v>
      </c>
      <c r="D414" s="7" t="s">
        <v>469</v>
      </c>
      <c r="F414" s="52">
        <v>2.58</v>
      </c>
      <c r="K414" s="34"/>
    </row>
    <row r="415" spans="1:75" ht="15" customHeight="1">
      <c r="A415" s="17"/>
      <c r="C415" s="7" t="s">
        <v>544</v>
      </c>
      <c r="D415" s="7" t="s">
        <v>469</v>
      </c>
      <c r="F415" s="52">
        <v>2.04</v>
      </c>
      <c r="K415" s="34"/>
    </row>
    <row r="416" spans="1:75" ht="15" customHeight="1">
      <c r="A416" s="17"/>
      <c r="C416" s="7" t="s">
        <v>51</v>
      </c>
      <c r="D416" s="7" t="s">
        <v>469</v>
      </c>
      <c r="F416" s="52">
        <v>1.165</v>
      </c>
      <c r="K416" s="34"/>
    </row>
    <row r="417" spans="1:75" ht="15" customHeight="1">
      <c r="A417" s="17"/>
      <c r="C417" s="7" t="s">
        <v>163</v>
      </c>
      <c r="D417" s="7" t="s">
        <v>469</v>
      </c>
      <c r="F417" s="52">
        <v>0.9</v>
      </c>
      <c r="K417" s="34"/>
    </row>
    <row r="418" spans="1:75" ht="15" customHeight="1">
      <c r="A418" s="17"/>
      <c r="C418" s="7" t="s">
        <v>702</v>
      </c>
      <c r="D418" s="7" t="s">
        <v>469</v>
      </c>
      <c r="F418" s="52">
        <v>1.4800000000000002</v>
      </c>
      <c r="K418" s="34"/>
    </row>
    <row r="419" spans="1:75" ht="13.5" customHeight="1">
      <c r="A419" s="26" t="s">
        <v>550</v>
      </c>
      <c r="B419" s="46" t="s">
        <v>633</v>
      </c>
      <c r="C419" s="66" t="s">
        <v>720</v>
      </c>
      <c r="D419" s="63"/>
      <c r="E419" s="46" t="s">
        <v>556</v>
      </c>
      <c r="F419" s="41">
        <v>6.33</v>
      </c>
      <c r="G419" s="41">
        <v>0</v>
      </c>
      <c r="H419" s="41">
        <f>F419*AO419</f>
        <v>0</v>
      </c>
      <c r="I419" s="41">
        <f>F419*AP419</f>
        <v>0</v>
      </c>
      <c r="J419" s="41">
        <f>F419*G419</f>
        <v>0</v>
      </c>
      <c r="K419" s="13" t="s">
        <v>313</v>
      </c>
      <c r="Z419" s="41">
        <f>IF(AQ419="5",BJ419,0)</f>
        <v>0</v>
      </c>
      <c r="AB419" s="41">
        <f>IF(AQ419="1",BH419,0)</f>
        <v>0</v>
      </c>
      <c r="AC419" s="41">
        <f>IF(AQ419="1",BI419,0)</f>
        <v>0</v>
      </c>
      <c r="AD419" s="41">
        <f>IF(AQ419="7",BH419,0)</f>
        <v>0</v>
      </c>
      <c r="AE419" s="41">
        <f>IF(AQ419="7",BI419,0)</f>
        <v>0</v>
      </c>
      <c r="AF419" s="41">
        <f>IF(AQ419="2",BH419,0)</f>
        <v>0</v>
      </c>
      <c r="AG419" s="41">
        <f>IF(AQ419="2",BI419,0)</f>
        <v>0</v>
      </c>
      <c r="AH419" s="41">
        <f>IF(AQ419="0",BJ419,0)</f>
        <v>0</v>
      </c>
      <c r="AI419" s="8" t="s">
        <v>469</v>
      </c>
      <c r="AJ419" s="41">
        <f>IF(AN419=0,J419,0)</f>
        <v>0</v>
      </c>
      <c r="AK419" s="41">
        <f>IF(AN419=12,J419,0)</f>
        <v>0</v>
      </c>
      <c r="AL419" s="41">
        <f>IF(AN419=21,J419,0)</f>
        <v>0</v>
      </c>
      <c r="AN419" s="41">
        <v>12</v>
      </c>
      <c r="AO419" s="41">
        <f>G419*0</f>
        <v>0</v>
      </c>
      <c r="AP419" s="41">
        <f>G419*(1-0)</f>
        <v>0</v>
      </c>
      <c r="AQ419" s="38" t="s">
        <v>661</v>
      </c>
      <c r="AV419" s="41">
        <f>AW419+AX419</f>
        <v>0</v>
      </c>
      <c r="AW419" s="41">
        <f>F419*AO419</f>
        <v>0</v>
      </c>
      <c r="AX419" s="41">
        <f>F419*AP419</f>
        <v>0</v>
      </c>
      <c r="AY419" s="38" t="s">
        <v>586</v>
      </c>
      <c r="AZ419" s="38" t="s">
        <v>251</v>
      </c>
      <c r="BA419" s="8" t="s">
        <v>518</v>
      </c>
      <c r="BC419" s="41">
        <f>AW419+AX419</f>
        <v>0</v>
      </c>
      <c r="BD419" s="41">
        <f>G419/(100-BE419)*100</f>
        <v>0</v>
      </c>
      <c r="BE419" s="41">
        <v>0</v>
      </c>
      <c r="BF419" s="41">
        <f>419</f>
        <v>419</v>
      </c>
      <c r="BH419" s="41">
        <f>F419*AO419</f>
        <v>0</v>
      </c>
      <c r="BI419" s="41">
        <f>F419*AP419</f>
        <v>0</v>
      </c>
      <c r="BJ419" s="41">
        <f>F419*G419</f>
        <v>0</v>
      </c>
      <c r="BK419" s="41"/>
      <c r="BL419" s="41">
        <v>96</v>
      </c>
      <c r="BW419" s="41">
        <v>12</v>
      </c>
    </row>
    <row r="420" spans="1:75" ht="15" customHeight="1">
      <c r="A420" s="17"/>
      <c r="C420" s="7" t="s">
        <v>705</v>
      </c>
      <c r="D420" s="7" t="s">
        <v>469</v>
      </c>
      <c r="F420" s="52">
        <v>0.9</v>
      </c>
      <c r="K420" s="34"/>
    </row>
    <row r="421" spans="1:75" ht="15" customHeight="1">
      <c r="A421" s="17"/>
      <c r="C421" s="7" t="s">
        <v>146</v>
      </c>
      <c r="D421" s="7" t="s">
        <v>469</v>
      </c>
      <c r="F421" s="52">
        <v>1.2000000000000002</v>
      </c>
      <c r="K421" s="34"/>
    </row>
    <row r="422" spans="1:75" ht="15" customHeight="1">
      <c r="A422" s="17"/>
      <c r="C422" s="7" t="s">
        <v>273</v>
      </c>
      <c r="D422" s="7" t="s">
        <v>469</v>
      </c>
      <c r="F422" s="52">
        <v>1.4700000000000002</v>
      </c>
      <c r="K422" s="34"/>
    </row>
    <row r="423" spans="1:75" ht="15" customHeight="1">
      <c r="A423" s="17"/>
      <c r="C423" s="7" t="s">
        <v>682</v>
      </c>
      <c r="D423" s="7" t="s">
        <v>469</v>
      </c>
      <c r="F423" s="52">
        <v>0.60000000000000009</v>
      </c>
      <c r="K423" s="34"/>
    </row>
    <row r="424" spans="1:75" ht="15" customHeight="1">
      <c r="A424" s="17"/>
      <c r="C424" s="7" t="s">
        <v>237</v>
      </c>
      <c r="D424" s="7" t="s">
        <v>469</v>
      </c>
      <c r="F424" s="52">
        <v>1.5000000000000002</v>
      </c>
      <c r="K424" s="34"/>
    </row>
    <row r="425" spans="1:75" ht="15" customHeight="1">
      <c r="A425" s="17"/>
      <c r="C425" s="7" t="s">
        <v>639</v>
      </c>
      <c r="D425" s="7" t="s">
        <v>469</v>
      </c>
      <c r="F425" s="52">
        <v>0.66</v>
      </c>
      <c r="K425" s="34"/>
    </row>
    <row r="426" spans="1:75" ht="13.5" customHeight="1">
      <c r="A426" s="26" t="s">
        <v>613</v>
      </c>
      <c r="B426" s="46" t="s">
        <v>512</v>
      </c>
      <c r="C426" s="66" t="s">
        <v>752</v>
      </c>
      <c r="D426" s="63"/>
      <c r="E426" s="46" t="s">
        <v>182</v>
      </c>
      <c r="F426" s="41">
        <v>5</v>
      </c>
      <c r="G426" s="41">
        <v>0</v>
      </c>
      <c r="H426" s="41">
        <f>F426*AO426</f>
        <v>0</v>
      </c>
      <c r="I426" s="41">
        <f>F426*AP426</f>
        <v>0</v>
      </c>
      <c r="J426" s="41">
        <f>F426*G426</f>
        <v>0</v>
      </c>
      <c r="K426" s="13" t="s">
        <v>313</v>
      </c>
      <c r="Z426" s="41">
        <f>IF(AQ426="5",BJ426,0)</f>
        <v>0</v>
      </c>
      <c r="AB426" s="41">
        <f>IF(AQ426="1",BH426,0)</f>
        <v>0</v>
      </c>
      <c r="AC426" s="41">
        <f>IF(AQ426="1",BI426,0)</f>
        <v>0</v>
      </c>
      <c r="AD426" s="41">
        <f>IF(AQ426="7",BH426,0)</f>
        <v>0</v>
      </c>
      <c r="AE426" s="41">
        <f>IF(AQ426="7",BI426,0)</f>
        <v>0</v>
      </c>
      <c r="AF426" s="41">
        <f>IF(AQ426="2",BH426,0)</f>
        <v>0</v>
      </c>
      <c r="AG426" s="41">
        <f>IF(AQ426="2",BI426,0)</f>
        <v>0</v>
      </c>
      <c r="AH426" s="41">
        <f>IF(AQ426="0",BJ426,0)</f>
        <v>0</v>
      </c>
      <c r="AI426" s="8" t="s">
        <v>469</v>
      </c>
      <c r="AJ426" s="41">
        <f>IF(AN426=0,J426,0)</f>
        <v>0</v>
      </c>
      <c r="AK426" s="41">
        <f>IF(AN426=12,J426,0)</f>
        <v>0</v>
      </c>
      <c r="AL426" s="41">
        <f>IF(AN426=21,J426,0)</f>
        <v>0</v>
      </c>
      <c r="AN426" s="41">
        <v>12</v>
      </c>
      <c r="AO426" s="41">
        <f>G426*0</f>
        <v>0</v>
      </c>
      <c r="AP426" s="41">
        <f>G426*(1-0)</f>
        <v>0</v>
      </c>
      <c r="AQ426" s="38" t="s">
        <v>661</v>
      </c>
      <c r="AV426" s="41">
        <f>AW426+AX426</f>
        <v>0</v>
      </c>
      <c r="AW426" s="41">
        <f>F426*AO426</f>
        <v>0</v>
      </c>
      <c r="AX426" s="41">
        <f>F426*AP426</f>
        <v>0</v>
      </c>
      <c r="AY426" s="38" t="s">
        <v>586</v>
      </c>
      <c r="AZ426" s="38" t="s">
        <v>251</v>
      </c>
      <c r="BA426" s="8" t="s">
        <v>518</v>
      </c>
      <c r="BC426" s="41">
        <f>AW426+AX426</f>
        <v>0</v>
      </c>
      <c r="BD426" s="41">
        <f>G426/(100-BE426)*100</f>
        <v>0</v>
      </c>
      <c r="BE426" s="41">
        <v>0</v>
      </c>
      <c r="BF426" s="41">
        <f>426</f>
        <v>426</v>
      </c>
      <c r="BH426" s="41">
        <f>F426*AO426</f>
        <v>0</v>
      </c>
      <c r="BI426" s="41">
        <f>F426*AP426</f>
        <v>0</v>
      </c>
      <c r="BJ426" s="41">
        <f>F426*G426</f>
        <v>0</v>
      </c>
      <c r="BK426" s="41"/>
      <c r="BL426" s="41">
        <v>96</v>
      </c>
      <c r="BW426" s="41">
        <v>12</v>
      </c>
    </row>
    <row r="427" spans="1:75" ht="15" customHeight="1">
      <c r="A427" s="17"/>
      <c r="C427" s="7" t="s">
        <v>122</v>
      </c>
      <c r="D427" s="7" t="s">
        <v>469</v>
      </c>
      <c r="F427" s="52">
        <v>1</v>
      </c>
      <c r="K427" s="34"/>
    </row>
    <row r="428" spans="1:75" ht="15" customHeight="1">
      <c r="A428" s="17"/>
      <c r="C428" s="7" t="s">
        <v>411</v>
      </c>
      <c r="D428" s="7" t="s">
        <v>469</v>
      </c>
      <c r="F428" s="52">
        <v>2</v>
      </c>
      <c r="K428" s="34"/>
    </row>
    <row r="429" spans="1:75" ht="15" customHeight="1">
      <c r="A429" s="17"/>
      <c r="C429" s="7" t="s">
        <v>502</v>
      </c>
      <c r="D429" s="7" t="s">
        <v>469</v>
      </c>
      <c r="F429" s="52">
        <v>2</v>
      </c>
      <c r="K429" s="34"/>
    </row>
    <row r="430" spans="1:75" ht="13.5" customHeight="1">
      <c r="A430" s="26" t="s">
        <v>580</v>
      </c>
      <c r="B430" s="46" t="s">
        <v>508</v>
      </c>
      <c r="C430" s="66" t="s">
        <v>607</v>
      </c>
      <c r="D430" s="63"/>
      <c r="E430" s="46" t="s">
        <v>654</v>
      </c>
      <c r="F430" s="41">
        <v>1.6015999999999999</v>
      </c>
      <c r="G430" s="41">
        <v>0</v>
      </c>
      <c r="H430" s="41">
        <f>F430*AO430</f>
        <v>0</v>
      </c>
      <c r="I430" s="41">
        <f>F430*AP430</f>
        <v>0</v>
      </c>
      <c r="J430" s="41">
        <f>F430*G430</f>
        <v>0</v>
      </c>
      <c r="K430" s="13" t="s">
        <v>313</v>
      </c>
      <c r="Z430" s="41">
        <f>IF(AQ430="5",BJ430,0)</f>
        <v>0</v>
      </c>
      <c r="AB430" s="41">
        <f>IF(AQ430="1",BH430,0)</f>
        <v>0</v>
      </c>
      <c r="AC430" s="41">
        <f>IF(AQ430="1",BI430,0)</f>
        <v>0</v>
      </c>
      <c r="AD430" s="41">
        <f>IF(AQ430="7",BH430,0)</f>
        <v>0</v>
      </c>
      <c r="AE430" s="41">
        <f>IF(AQ430="7",BI430,0)</f>
        <v>0</v>
      </c>
      <c r="AF430" s="41">
        <f>IF(AQ430="2",BH430,0)</f>
        <v>0</v>
      </c>
      <c r="AG430" s="41">
        <f>IF(AQ430="2",BI430,0)</f>
        <v>0</v>
      </c>
      <c r="AH430" s="41">
        <f>IF(AQ430="0",BJ430,0)</f>
        <v>0</v>
      </c>
      <c r="AI430" s="8" t="s">
        <v>469</v>
      </c>
      <c r="AJ430" s="41">
        <f>IF(AN430=0,J430,0)</f>
        <v>0</v>
      </c>
      <c r="AK430" s="41">
        <f>IF(AN430=12,J430,0)</f>
        <v>0</v>
      </c>
      <c r="AL430" s="41">
        <f>IF(AN430=21,J430,0)</f>
        <v>0</v>
      </c>
      <c r="AN430" s="41">
        <v>12</v>
      </c>
      <c r="AO430" s="41">
        <f>G430*0.12291775486827</f>
        <v>0</v>
      </c>
      <c r="AP430" s="41">
        <f>G430*(1-0.12291775486827)</f>
        <v>0</v>
      </c>
      <c r="AQ430" s="38" t="s">
        <v>661</v>
      </c>
      <c r="AV430" s="41">
        <f>AW430+AX430</f>
        <v>0</v>
      </c>
      <c r="AW430" s="41">
        <f>F430*AO430</f>
        <v>0</v>
      </c>
      <c r="AX430" s="41">
        <f>F430*AP430</f>
        <v>0</v>
      </c>
      <c r="AY430" s="38" t="s">
        <v>586</v>
      </c>
      <c r="AZ430" s="38" t="s">
        <v>251</v>
      </c>
      <c r="BA430" s="8" t="s">
        <v>518</v>
      </c>
      <c r="BC430" s="41">
        <f>AW430+AX430</f>
        <v>0</v>
      </c>
      <c r="BD430" s="41">
        <f>G430/(100-BE430)*100</f>
        <v>0</v>
      </c>
      <c r="BE430" s="41">
        <v>0</v>
      </c>
      <c r="BF430" s="41">
        <f>430</f>
        <v>430</v>
      </c>
      <c r="BH430" s="41">
        <f>F430*AO430</f>
        <v>0</v>
      </c>
      <c r="BI430" s="41">
        <f>F430*AP430</f>
        <v>0</v>
      </c>
      <c r="BJ430" s="41">
        <f>F430*G430</f>
        <v>0</v>
      </c>
      <c r="BK430" s="41"/>
      <c r="BL430" s="41">
        <v>96</v>
      </c>
      <c r="BW430" s="41">
        <v>12</v>
      </c>
    </row>
    <row r="431" spans="1:75" ht="15" customHeight="1">
      <c r="A431" s="17"/>
      <c r="C431" s="7" t="s">
        <v>223</v>
      </c>
      <c r="D431" s="7" t="s">
        <v>469</v>
      </c>
      <c r="F431" s="52">
        <v>1.6016000000000001</v>
      </c>
      <c r="K431" s="34"/>
    </row>
    <row r="432" spans="1:75" ht="13.5" customHeight="1">
      <c r="A432" s="26" t="s">
        <v>17</v>
      </c>
      <c r="B432" s="46" t="s">
        <v>353</v>
      </c>
      <c r="C432" s="66" t="s">
        <v>675</v>
      </c>
      <c r="D432" s="63"/>
      <c r="E432" s="46" t="s">
        <v>654</v>
      </c>
      <c r="F432" s="41">
        <v>4.8080999999999996</v>
      </c>
      <c r="G432" s="41">
        <v>0</v>
      </c>
      <c r="H432" s="41">
        <f>F432*AO432</f>
        <v>0</v>
      </c>
      <c r="I432" s="41">
        <f>F432*AP432</f>
        <v>0</v>
      </c>
      <c r="J432" s="41">
        <f>F432*G432</f>
        <v>0</v>
      </c>
      <c r="K432" s="13" t="s">
        <v>313</v>
      </c>
      <c r="Z432" s="41">
        <f>IF(AQ432="5",BJ432,0)</f>
        <v>0</v>
      </c>
      <c r="AB432" s="41">
        <f>IF(AQ432="1",BH432,0)</f>
        <v>0</v>
      </c>
      <c r="AC432" s="41">
        <f>IF(AQ432="1",BI432,0)</f>
        <v>0</v>
      </c>
      <c r="AD432" s="41">
        <f>IF(AQ432="7",BH432,0)</f>
        <v>0</v>
      </c>
      <c r="AE432" s="41">
        <f>IF(AQ432="7",BI432,0)</f>
        <v>0</v>
      </c>
      <c r="AF432" s="41">
        <f>IF(AQ432="2",BH432,0)</f>
        <v>0</v>
      </c>
      <c r="AG432" s="41">
        <f>IF(AQ432="2",BI432,0)</f>
        <v>0</v>
      </c>
      <c r="AH432" s="41">
        <f>IF(AQ432="0",BJ432,0)</f>
        <v>0</v>
      </c>
      <c r="AI432" s="8" t="s">
        <v>469</v>
      </c>
      <c r="AJ432" s="41">
        <f>IF(AN432=0,J432,0)</f>
        <v>0</v>
      </c>
      <c r="AK432" s="41">
        <f>IF(AN432=12,J432,0)</f>
        <v>0</v>
      </c>
      <c r="AL432" s="41">
        <f>IF(AN432=21,J432,0)</f>
        <v>0</v>
      </c>
      <c r="AN432" s="41">
        <v>12</v>
      </c>
      <c r="AO432" s="41">
        <f>G432*0.114324811350705</f>
        <v>0</v>
      </c>
      <c r="AP432" s="41">
        <f>G432*(1-0.114324811350705)</f>
        <v>0</v>
      </c>
      <c r="AQ432" s="38" t="s">
        <v>661</v>
      </c>
      <c r="AV432" s="41">
        <f>AW432+AX432</f>
        <v>0</v>
      </c>
      <c r="AW432" s="41">
        <f>F432*AO432</f>
        <v>0</v>
      </c>
      <c r="AX432" s="41">
        <f>F432*AP432</f>
        <v>0</v>
      </c>
      <c r="AY432" s="38" t="s">
        <v>586</v>
      </c>
      <c r="AZ432" s="38" t="s">
        <v>251</v>
      </c>
      <c r="BA432" s="8" t="s">
        <v>518</v>
      </c>
      <c r="BC432" s="41">
        <f>AW432+AX432</f>
        <v>0</v>
      </c>
      <c r="BD432" s="41">
        <f>G432/(100-BE432)*100</f>
        <v>0</v>
      </c>
      <c r="BE432" s="41">
        <v>0</v>
      </c>
      <c r="BF432" s="41">
        <f>432</f>
        <v>432</v>
      </c>
      <c r="BH432" s="41">
        <f>F432*AO432</f>
        <v>0</v>
      </c>
      <c r="BI432" s="41">
        <f>F432*AP432</f>
        <v>0</v>
      </c>
      <c r="BJ432" s="41">
        <f>F432*G432</f>
        <v>0</v>
      </c>
      <c r="BK432" s="41"/>
      <c r="BL432" s="41">
        <v>96</v>
      </c>
      <c r="BW432" s="41">
        <v>12</v>
      </c>
    </row>
    <row r="433" spans="1:75" ht="15" customHeight="1">
      <c r="A433" s="17"/>
      <c r="C433" s="7" t="s">
        <v>83</v>
      </c>
      <c r="D433" s="7" t="s">
        <v>469</v>
      </c>
      <c r="F433" s="52">
        <v>2.3826000000000001</v>
      </c>
      <c r="K433" s="34"/>
    </row>
    <row r="434" spans="1:75" ht="15" customHeight="1">
      <c r="A434" s="17"/>
      <c r="C434" s="7" t="s">
        <v>471</v>
      </c>
      <c r="D434" s="7" t="s">
        <v>469</v>
      </c>
      <c r="F434" s="52">
        <v>2.4255</v>
      </c>
      <c r="K434" s="34"/>
    </row>
    <row r="435" spans="1:75" ht="13.5" customHeight="1">
      <c r="A435" s="26" t="s">
        <v>267</v>
      </c>
      <c r="B435" s="46" t="s">
        <v>457</v>
      </c>
      <c r="C435" s="66" t="s">
        <v>150</v>
      </c>
      <c r="D435" s="63"/>
      <c r="E435" s="46" t="s">
        <v>643</v>
      </c>
      <c r="F435" s="41">
        <v>10.8</v>
      </c>
      <c r="G435" s="41">
        <v>0</v>
      </c>
      <c r="H435" s="41">
        <f>F435*AO435</f>
        <v>0</v>
      </c>
      <c r="I435" s="41">
        <f>F435*AP435</f>
        <v>0</v>
      </c>
      <c r="J435" s="41">
        <f>F435*G435</f>
        <v>0</v>
      </c>
      <c r="K435" s="13" t="s">
        <v>313</v>
      </c>
      <c r="Z435" s="41">
        <f>IF(AQ435="5",BJ435,0)</f>
        <v>0</v>
      </c>
      <c r="AB435" s="41">
        <f>IF(AQ435="1",BH435,0)</f>
        <v>0</v>
      </c>
      <c r="AC435" s="41">
        <f>IF(AQ435="1",BI435,0)</f>
        <v>0</v>
      </c>
      <c r="AD435" s="41">
        <f>IF(AQ435="7",BH435,0)</f>
        <v>0</v>
      </c>
      <c r="AE435" s="41">
        <f>IF(AQ435="7",BI435,0)</f>
        <v>0</v>
      </c>
      <c r="AF435" s="41">
        <f>IF(AQ435="2",BH435,0)</f>
        <v>0</v>
      </c>
      <c r="AG435" s="41">
        <f>IF(AQ435="2",BI435,0)</f>
        <v>0</v>
      </c>
      <c r="AH435" s="41">
        <f>IF(AQ435="0",BJ435,0)</f>
        <v>0</v>
      </c>
      <c r="AI435" s="8" t="s">
        <v>469</v>
      </c>
      <c r="AJ435" s="41">
        <f>IF(AN435=0,J435,0)</f>
        <v>0</v>
      </c>
      <c r="AK435" s="41">
        <f>IF(AN435=12,J435,0)</f>
        <v>0</v>
      </c>
      <c r="AL435" s="41">
        <f>IF(AN435=21,J435,0)</f>
        <v>0</v>
      </c>
      <c r="AN435" s="41">
        <v>12</v>
      </c>
      <c r="AO435" s="41">
        <f>G435*0</f>
        <v>0</v>
      </c>
      <c r="AP435" s="41">
        <f>G435*(1-0)</f>
        <v>0</v>
      </c>
      <c r="AQ435" s="38" t="s">
        <v>661</v>
      </c>
      <c r="AV435" s="41">
        <f>AW435+AX435</f>
        <v>0</v>
      </c>
      <c r="AW435" s="41">
        <f>F435*AO435</f>
        <v>0</v>
      </c>
      <c r="AX435" s="41">
        <f>F435*AP435</f>
        <v>0</v>
      </c>
      <c r="AY435" s="38" t="s">
        <v>586</v>
      </c>
      <c r="AZ435" s="38" t="s">
        <v>251</v>
      </c>
      <c r="BA435" s="8" t="s">
        <v>518</v>
      </c>
      <c r="BC435" s="41">
        <f>AW435+AX435</f>
        <v>0</v>
      </c>
      <c r="BD435" s="41">
        <f>G435/(100-BE435)*100</f>
        <v>0</v>
      </c>
      <c r="BE435" s="41">
        <v>0</v>
      </c>
      <c r="BF435" s="41">
        <f>435</f>
        <v>435</v>
      </c>
      <c r="BH435" s="41">
        <f>F435*AO435</f>
        <v>0</v>
      </c>
      <c r="BI435" s="41">
        <f>F435*AP435</f>
        <v>0</v>
      </c>
      <c r="BJ435" s="41">
        <f>F435*G435</f>
        <v>0</v>
      </c>
      <c r="BK435" s="41"/>
      <c r="BL435" s="41">
        <v>96</v>
      </c>
      <c r="BW435" s="41">
        <v>12</v>
      </c>
    </row>
    <row r="436" spans="1:75" ht="15" customHeight="1">
      <c r="A436" s="17"/>
      <c r="C436" s="7" t="s">
        <v>753</v>
      </c>
      <c r="D436" s="7" t="s">
        <v>469</v>
      </c>
      <c r="F436" s="52">
        <v>10.8</v>
      </c>
      <c r="K436" s="34"/>
    </row>
    <row r="437" spans="1:75" ht="15" customHeight="1">
      <c r="A437" s="11" t="s">
        <v>469</v>
      </c>
      <c r="B437" s="16" t="s">
        <v>710</v>
      </c>
      <c r="C437" s="79" t="s">
        <v>238</v>
      </c>
      <c r="D437" s="80"/>
      <c r="E437" s="58" t="s">
        <v>619</v>
      </c>
      <c r="F437" s="58" t="s">
        <v>619</v>
      </c>
      <c r="G437" s="58" t="s">
        <v>619</v>
      </c>
      <c r="H437" s="49">
        <f>SUM(H438:H438)</f>
        <v>0</v>
      </c>
      <c r="I437" s="49">
        <f>SUM(I438:I438)</f>
        <v>0</v>
      </c>
      <c r="J437" s="49">
        <f>SUM(J438:J438)</f>
        <v>0</v>
      </c>
      <c r="K437" s="32" t="s">
        <v>469</v>
      </c>
      <c r="AI437" s="8" t="s">
        <v>469</v>
      </c>
      <c r="AS437" s="49">
        <f>SUM(AJ438:AJ438)</f>
        <v>0</v>
      </c>
      <c r="AT437" s="49">
        <f>SUM(AK438:AK438)</f>
        <v>0</v>
      </c>
      <c r="AU437" s="49">
        <f>SUM(AL438:AL438)</f>
        <v>0</v>
      </c>
    </row>
    <row r="438" spans="1:75" ht="13.5" customHeight="1">
      <c r="A438" s="26" t="s">
        <v>104</v>
      </c>
      <c r="B438" s="46" t="s">
        <v>279</v>
      </c>
      <c r="C438" s="66" t="s">
        <v>716</v>
      </c>
      <c r="D438" s="63"/>
      <c r="E438" s="46" t="s">
        <v>322</v>
      </c>
      <c r="F438" s="41">
        <v>33.276879999999998</v>
      </c>
      <c r="G438" s="41">
        <v>0</v>
      </c>
      <c r="H438" s="41">
        <f>F438*AO438</f>
        <v>0</v>
      </c>
      <c r="I438" s="41">
        <f>F438*AP438</f>
        <v>0</v>
      </c>
      <c r="J438" s="41">
        <f>F438*G438</f>
        <v>0</v>
      </c>
      <c r="K438" s="13" t="s">
        <v>313</v>
      </c>
      <c r="Z438" s="41">
        <f>IF(AQ438="5",BJ438,0)</f>
        <v>0</v>
      </c>
      <c r="AB438" s="41">
        <f>IF(AQ438="1",BH438,0)</f>
        <v>0</v>
      </c>
      <c r="AC438" s="41">
        <f>IF(AQ438="1",BI438,0)</f>
        <v>0</v>
      </c>
      <c r="AD438" s="41">
        <f>IF(AQ438="7",BH438,0)</f>
        <v>0</v>
      </c>
      <c r="AE438" s="41">
        <f>IF(AQ438="7",BI438,0)</f>
        <v>0</v>
      </c>
      <c r="AF438" s="41">
        <f>IF(AQ438="2",BH438,0)</f>
        <v>0</v>
      </c>
      <c r="AG438" s="41">
        <f>IF(AQ438="2",BI438,0)</f>
        <v>0</v>
      </c>
      <c r="AH438" s="41">
        <f>IF(AQ438="0",BJ438,0)</f>
        <v>0</v>
      </c>
      <c r="AI438" s="8" t="s">
        <v>469</v>
      </c>
      <c r="AJ438" s="41">
        <f>IF(AN438=0,J438,0)</f>
        <v>0</v>
      </c>
      <c r="AK438" s="41">
        <f>IF(AN438=12,J438,0)</f>
        <v>0</v>
      </c>
      <c r="AL438" s="41">
        <f>IF(AN438=21,J438,0)</f>
        <v>0</v>
      </c>
      <c r="AN438" s="41">
        <v>12</v>
      </c>
      <c r="AO438" s="41">
        <f>G438*0</f>
        <v>0</v>
      </c>
      <c r="AP438" s="41">
        <f>G438*(1-0)</f>
        <v>0</v>
      </c>
      <c r="AQ438" s="38" t="s">
        <v>372</v>
      </c>
      <c r="AV438" s="41">
        <f>AW438+AX438</f>
        <v>0</v>
      </c>
      <c r="AW438" s="41">
        <f>F438*AO438</f>
        <v>0</v>
      </c>
      <c r="AX438" s="41">
        <f>F438*AP438</f>
        <v>0</v>
      </c>
      <c r="AY438" s="38" t="s">
        <v>362</v>
      </c>
      <c r="AZ438" s="38" t="s">
        <v>251</v>
      </c>
      <c r="BA438" s="8" t="s">
        <v>518</v>
      </c>
      <c r="BC438" s="41">
        <f>AW438+AX438</f>
        <v>0</v>
      </c>
      <c r="BD438" s="41">
        <f>G438/(100-BE438)*100</f>
        <v>0</v>
      </c>
      <c r="BE438" s="41">
        <v>0</v>
      </c>
      <c r="BF438" s="41">
        <f>438</f>
        <v>438</v>
      </c>
      <c r="BH438" s="41">
        <f>F438*AO438</f>
        <v>0</v>
      </c>
      <c r="BI438" s="41">
        <f>F438*AP438</f>
        <v>0</v>
      </c>
      <c r="BJ438" s="41">
        <f>F438*G438</f>
        <v>0</v>
      </c>
      <c r="BK438" s="41"/>
      <c r="BL438" s="41"/>
      <c r="BW438" s="41">
        <v>12</v>
      </c>
    </row>
    <row r="439" spans="1:75" ht="15" customHeight="1">
      <c r="A439" s="17"/>
      <c r="C439" s="7" t="s">
        <v>680</v>
      </c>
      <c r="D439" s="7" t="s">
        <v>469</v>
      </c>
      <c r="F439" s="52">
        <v>33.276880000000006</v>
      </c>
      <c r="K439" s="34"/>
    </row>
    <row r="440" spans="1:75" ht="15" customHeight="1">
      <c r="A440" s="11" t="s">
        <v>469</v>
      </c>
      <c r="B440" s="16" t="s">
        <v>231</v>
      </c>
      <c r="C440" s="79" t="s">
        <v>291</v>
      </c>
      <c r="D440" s="80"/>
      <c r="E440" s="58" t="s">
        <v>619</v>
      </c>
      <c r="F440" s="58" t="s">
        <v>619</v>
      </c>
      <c r="G440" s="58" t="s">
        <v>619</v>
      </c>
      <c r="H440" s="49">
        <f>SUM(H441:H457)</f>
        <v>0</v>
      </c>
      <c r="I440" s="49">
        <f>SUM(I441:I457)</f>
        <v>0</v>
      </c>
      <c r="J440" s="49">
        <f>SUM(J441:J457)</f>
        <v>0</v>
      </c>
      <c r="K440" s="32" t="s">
        <v>469</v>
      </c>
      <c r="AI440" s="8" t="s">
        <v>469</v>
      </c>
      <c r="AS440" s="49">
        <f>SUM(AJ441:AJ457)</f>
        <v>0</v>
      </c>
      <c r="AT440" s="49">
        <f>SUM(AK441:AK457)</f>
        <v>0</v>
      </c>
      <c r="AU440" s="49">
        <f>SUM(AL441:AL457)</f>
        <v>0</v>
      </c>
    </row>
    <row r="441" spans="1:75" ht="13.5" customHeight="1">
      <c r="A441" s="26" t="s">
        <v>738</v>
      </c>
      <c r="B441" s="46" t="s">
        <v>495</v>
      </c>
      <c r="C441" s="66" t="s">
        <v>601</v>
      </c>
      <c r="D441" s="63"/>
      <c r="E441" s="46" t="s">
        <v>322</v>
      </c>
      <c r="F441" s="41">
        <v>19.974820000000001</v>
      </c>
      <c r="G441" s="41">
        <v>0</v>
      </c>
      <c r="H441" s="41">
        <f>F441*AO441</f>
        <v>0</v>
      </c>
      <c r="I441" s="41">
        <f>F441*AP441</f>
        <v>0</v>
      </c>
      <c r="J441" s="41">
        <f>F441*G441</f>
        <v>0</v>
      </c>
      <c r="K441" s="13" t="s">
        <v>313</v>
      </c>
      <c r="Z441" s="41">
        <f>IF(AQ441="5",BJ441,0)</f>
        <v>0</v>
      </c>
      <c r="AB441" s="41">
        <f>IF(AQ441="1",BH441,0)</f>
        <v>0</v>
      </c>
      <c r="AC441" s="41">
        <f>IF(AQ441="1",BI441,0)</f>
        <v>0</v>
      </c>
      <c r="AD441" s="41">
        <f>IF(AQ441="7",BH441,0)</f>
        <v>0</v>
      </c>
      <c r="AE441" s="41">
        <f>IF(AQ441="7",BI441,0)</f>
        <v>0</v>
      </c>
      <c r="AF441" s="41">
        <f>IF(AQ441="2",BH441,0)</f>
        <v>0</v>
      </c>
      <c r="AG441" s="41">
        <f>IF(AQ441="2",BI441,0)</f>
        <v>0</v>
      </c>
      <c r="AH441" s="41">
        <f>IF(AQ441="0",BJ441,0)</f>
        <v>0</v>
      </c>
      <c r="AI441" s="8" t="s">
        <v>469</v>
      </c>
      <c r="AJ441" s="41">
        <f>IF(AN441=0,J441,0)</f>
        <v>0</v>
      </c>
      <c r="AK441" s="41">
        <f>IF(AN441=12,J441,0)</f>
        <v>0</v>
      </c>
      <c r="AL441" s="41">
        <f>IF(AN441=21,J441,0)</f>
        <v>0</v>
      </c>
      <c r="AN441" s="41">
        <v>12</v>
      </c>
      <c r="AO441" s="41">
        <f>G441*0</f>
        <v>0</v>
      </c>
      <c r="AP441" s="41">
        <f>G441*(1-0)</f>
        <v>0</v>
      </c>
      <c r="AQ441" s="38" t="s">
        <v>372</v>
      </c>
      <c r="AV441" s="41">
        <f>AW441+AX441</f>
        <v>0</v>
      </c>
      <c r="AW441" s="41">
        <f>F441*AO441</f>
        <v>0</v>
      </c>
      <c r="AX441" s="41">
        <f>F441*AP441</f>
        <v>0</v>
      </c>
      <c r="AY441" s="38" t="s">
        <v>282</v>
      </c>
      <c r="AZ441" s="38" t="s">
        <v>251</v>
      </c>
      <c r="BA441" s="8" t="s">
        <v>518</v>
      </c>
      <c r="BC441" s="41">
        <f>AW441+AX441</f>
        <v>0</v>
      </c>
      <c r="BD441" s="41">
        <f>G441/(100-BE441)*100</f>
        <v>0</v>
      </c>
      <c r="BE441" s="41">
        <v>0</v>
      </c>
      <c r="BF441" s="41">
        <f>441</f>
        <v>441</v>
      </c>
      <c r="BH441" s="41">
        <f>F441*AO441</f>
        <v>0</v>
      </c>
      <c r="BI441" s="41">
        <f>F441*AP441</f>
        <v>0</v>
      </c>
      <c r="BJ441" s="41">
        <f>F441*G441</f>
        <v>0</v>
      </c>
      <c r="BK441" s="41"/>
      <c r="BL441" s="41"/>
      <c r="BW441" s="41">
        <v>12</v>
      </c>
    </row>
    <row r="442" spans="1:75" ht="15" customHeight="1">
      <c r="A442" s="17"/>
      <c r="C442" s="7" t="s">
        <v>265</v>
      </c>
      <c r="D442" s="7" t="s">
        <v>469</v>
      </c>
      <c r="F442" s="52">
        <v>19.974820000000001</v>
      </c>
      <c r="K442" s="34"/>
    </row>
    <row r="443" spans="1:75" ht="13.5" customHeight="1">
      <c r="A443" s="26" t="s">
        <v>333</v>
      </c>
      <c r="B443" s="46" t="s">
        <v>703</v>
      </c>
      <c r="C443" s="66" t="s">
        <v>287</v>
      </c>
      <c r="D443" s="63"/>
      <c r="E443" s="46" t="s">
        <v>322</v>
      </c>
      <c r="F443" s="41">
        <v>19.974820000000001</v>
      </c>
      <c r="G443" s="41">
        <v>0</v>
      </c>
      <c r="H443" s="41">
        <f>F443*AO443</f>
        <v>0</v>
      </c>
      <c r="I443" s="41">
        <f>F443*AP443</f>
        <v>0</v>
      </c>
      <c r="J443" s="41">
        <f>F443*G443</f>
        <v>0</v>
      </c>
      <c r="K443" s="13" t="s">
        <v>313</v>
      </c>
      <c r="Z443" s="41">
        <f>IF(AQ443="5",BJ443,0)</f>
        <v>0</v>
      </c>
      <c r="AB443" s="41">
        <f>IF(AQ443="1",BH443,0)</f>
        <v>0</v>
      </c>
      <c r="AC443" s="41">
        <f>IF(AQ443="1",BI443,0)</f>
        <v>0</v>
      </c>
      <c r="AD443" s="41">
        <f>IF(AQ443="7",BH443,0)</f>
        <v>0</v>
      </c>
      <c r="AE443" s="41">
        <f>IF(AQ443="7",BI443,0)</f>
        <v>0</v>
      </c>
      <c r="AF443" s="41">
        <f>IF(AQ443="2",BH443,0)</f>
        <v>0</v>
      </c>
      <c r="AG443" s="41">
        <f>IF(AQ443="2",BI443,0)</f>
        <v>0</v>
      </c>
      <c r="AH443" s="41">
        <f>IF(AQ443="0",BJ443,0)</f>
        <v>0</v>
      </c>
      <c r="AI443" s="8" t="s">
        <v>469</v>
      </c>
      <c r="AJ443" s="41">
        <f>IF(AN443=0,J443,0)</f>
        <v>0</v>
      </c>
      <c r="AK443" s="41">
        <f>IF(AN443=12,J443,0)</f>
        <v>0</v>
      </c>
      <c r="AL443" s="41">
        <f>IF(AN443=21,J443,0)</f>
        <v>0</v>
      </c>
      <c r="AN443" s="41">
        <v>12</v>
      </c>
      <c r="AO443" s="41">
        <f>G443*0</f>
        <v>0</v>
      </c>
      <c r="AP443" s="41">
        <f>G443*(1-0)</f>
        <v>0</v>
      </c>
      <c r="AQ443" s="38" t="s">
        <v>372</v>
      </c>
      <c r="AV443" s="41">
        <f>AW443+AX443</f>
        <v>0</v>
      </c>
      <c r="AW443" s="41">
        <f>F443*AO443</f>
        <v>0</v>
      </c>
      <c r="AX443" s="41">
        <f>F443*AP443</f>
        <v>0</v>
      </c>
      <c r="AY443" s="38" t="s">
        <v>282</v>
      </c>
      <c r="AZ443" s="38" t="s">
        <v>251</v>
      </c>
      <c r="BA443" s="8" t="s">
        <v>518</v>
      </c>
      <c r="BC443" s="41">
        <f>AW443+AX443</f>
        <v>0</v>
      </c>
      <c r="BD443" s="41">
        <f>G443/(100-BE443)*100</f>
        <v>0</v>
      </c>
      <c r="BE443" s="41">
        <v>0</v>
      </c>
      <c r="BF443" s="41">
        <f>443</f>
        <v>443</v>
      </c>
      <c r="BH443" s="41">
        <f>F443*AO443</f>
        <v>0</v>
      </c>
      <c r="BI443" s="41">
        <f>F443*AP443</f>
        <v>0</v>
      </c>
      <c r="BJ443" s="41">
        <f>F443*G443</f>
        <v>0</v>
      </c>
      <c r="BK443" s="41"/>
      <c r="BL443" s="41"/>
      <c r="BW443" s="41">
        <v>12</v>
      </c>
    </row>
    <row r="444" spans="1:75" ht="15" customHeight="1">
      <c r="A444" s="17"/>
      <c r="C444" s="7" t="s">
        <v>265</v>
      </c>
      <c r="D444" s="7" t="s">
        <v>469</v>
      </c>
      <c r="F444" s="52">
        <v>19.974820000000001</v>
      </c>
      <c r="K444" s="34"/>
    </row>
    <row r="445" spans="1:75" ht="13.5" customHeight="1">
      <c r="A445" s="26" t="s">
        <v>552</v>
      </c>
      <c r="B445" s="46" t="s">
        <v>424</v>
      </c>
      <c r="C445" s="66" t="s">
        <v>511</v>
      </c>
      <c r="D445" s="63"/>
      <c r="E445" s="46" t="s">
        <v>322</v>
      </c>
      <c r="F445" s="41">
        <v>19.974820000000001</v>
      </c>
      <c r="G445" s="41">
        <v>0</v>
      </c>
      <c r="H445" s="41">
        <f>F445*AO445</f>
        <v>0</v>
      </c>
      <c r="I445" s="41">
        <f>F445*AP445</f>
        <v>0</v>
      </c>
      <c r="J445" s="41">
        <f>F445*G445</f>
        <v>0</v>
      </c>
      <c r="K445" s="13" t="s">
        <v>313</v>
      </c>
      <c r="Z445" s="41">
        <f>IF(AQ445="5",BJ445,0)</f>
        <v>0</v>
      </c>
      <c r="AB445" s="41">
        <f>IF(AQ445="1",BH445,0)</f>
        <v>0</v>
      </c>
      <c r="AC445" s="41">
        <f>IF(AQ445="1",BI445,0)</f>
        <v>0</v>
      </c>
      <c r="AD445" s="41">
        <f>IF(AQ445="7",BH445,0)</f>
        <v>0</v>
      </c>
      <c r="AE445" s="41">
        <f>IF(AQ445="7",BI445,0)</f>
        <v>0</v>
      </c>
      <c r="AF445" s="41">
        <f>IF(AQ445="2",BH445,0)</f>
        <v>0</v>
      </c>
      <c r="AG445" s="41">
        <f>IF(AQ445="2",BI445,0)</f>
        <v>0</v>
      </c>
      <c r="AH445" s="41">
        <f>IF(AQ445="0",BJ445,0)</f>
        <v>0</v>
      </c>
      <c r="AI445" s="8" t="s">
        <v>469</v>
      </c>
      <c r="AJ445" s="41">
        <f>IF(AN445=0,J445,0)</f>
        <v>0</v>
      </c>
      <c r="AK445" s="41">
        <f>IF(AN445=12,J445,0)</f>
        <v>0</v>
      </c>
      <c r="AL445" s="41">
        <f>IF(AN445=21,J445,0)</f>
        <v>0</v>
      </c>
      <c r="AN445" s="41">
        <v>12</v>
      </c>
      <c r="AO445" s="41">
        <f>G445*0</f>
        <v>0</v>
      </c>
      <c r="AP445" s="41">
        <f>G445*(1-0)</f>
        <v>0</v>
      </c>
      <c r="AQ445" s="38" t="s">
        <v>372</v>
      </c>
      <c r="AV445" s="41">
        <f>AW445+AX445</f>
        <v>0</v>
      </c>
      <c r="AW445" s="41">
        <f>F445*AO445</f>
        <v>0</v>
      </c>
      <c r="AX445" s="41">
        <f>F445*AP445</f>
        <v>0</v>
      </c>
      <c r="AY445" s="38" t="s">
        <v>282</v>
      </c>
      <c r="AZ445" s="38" t="s">
        <v>251</v>
      </c>
      <c r="BA445" s="8" t="s">
        <v>518</v>
      </c>
      <c r="BC445" s="41">
        <f>AW445+AX445</f>
        <v>0</v>
      </c>
      <c r="BD445" s="41">
        <f>G445/(100-BE445)*100</f>
        <v>0</v>
      </c>
      <c r="BE445" s="41">
        <v>0</v>
      </c>
      <c r="BF445" s="41">
        <f>445</f>
        <v>445</v>
      </c>
      <c r="BH445" s="41">
        <f>F445*AO445</f>
        <v>0</v>
      </c>
      <c r="BI445" s="41">
        <f>F445*AP445</f>
        <v>0</v>
      </c>
      <c r="BJ445" s="41">
        <f>F445*G445</f>
        <v>0</v>
      </c>
      <c r="BK445" s="41"/>
      <c r="BL445" s="41"/>
      <c r="BW445" s="41">
        <v>12</v>
      </c>
    </row>
    <row r="446" spans="1:75" ht="15" customHeight="1">
      <c r="A446" s="17"/>
      <c r="C446" s="7" t="s">
        <v>265</v>
      </c>
      <c r="D446" s="7" t="s">
        <v>469</v>
      </c>
      <c r="F446" s="52">
        <v>19.974820000000001</v>
      </c>
      <c r="K446" s="34"/>
    </row>
    <row r="447" spans="1:75" ht="13.5" customHeight="1">
      <c r="A447" s="26" t="s">
        <v>321</v>
      </c>
      <c r="B447" s="46" t="s">
        <v>485</v>
      </c>
      <c r="C447" s="66" t="s">
        <v>503</v>
      </c>
      <c r="D447" s="63"/>
      <c r="E447" s="46" t="s">
        <v>322</v>
      </c>
      <c r="F447" s="41">
        <v>19.974820000000001</v>
      </c>
      <c r="G447" s="41">
        <v>0</v>
      </c>
      <c r="H447" s="41">
        <f>F447*AO447</f>
        <v>0</v>
      </c>
      <c r="I447" s="41">
        <f>F447*AP447</f>
        <v>0</v>
      </c>
      <c r="J447" s="41">
        <f>F447*G447</f>
        <v>0</v>
      </c>
      <c r="K447" s="13" t="s">
        <v>313</v>
      </c>
      <c r="Z447" s="41">
        <f>IF(AQ447="5",BJ447,0)</f>
        <v>0</v>
      </c>
      <c r="AB447" s="41">
        <f>IF(AQ447="1",BH447,0)</f>
        <v>0</v>
      </c>
      <c r="AC447" s="41">
        <f>IF(AQ447="1",BI447,0)</f>
        <v>0</v>
      </c>
      <c r="AD447" s="41">
        <f>IF(AQ447="7",BH447,0)</f>
        <v>0</v>
      </c>
      <c r="AE447" s="41">
        <f>IF(AQ447="7",BI447,0)</f>
        <v>0</v>
      </c>
      <c r="AF447" s="41">
        <f>IF(AQ447="2",BH447,0)</f>
        <v>0</v>
      </c>
      <c r="AG447" s="41">
        <f>IF(AQ447="2",BI447,0)</f>
        <v>0</v>
      </c>
      <c r="AH447" s="41">
        <f>IF(AQ447="0",BJ447,0)</f>
        <v>0</v>
      </c>
      <c r="AI447" s="8" t="s">
        <v>469</v>
      </c>
      <c r="AJ447" s="41">
        <f>IF(AN447=0,J447,0)</f>
        <v>0</v>
      </c>
      <c r="AK447" s="41">
        <f>IF(AN447=12,J447,0)</f>
        <v>0</v>
      </c>
      <c r="AL447" s="41">
        <f>IF(AN447=21,J447,0)</f>
        <v>0</v>
      </c>
      <c r="AN447" s="41">
        <v>12</v>
      </c>
      <c r="AO447" s="41">
        <f>G447*0</f>
        <v>0</v>
      </c>
      <c r="AP447" s="41">
        <f>G447*(1-0)</f>
        <v>0</v>
      </c>
      <c r="AQ447" s="38" t="s">
        <v>372</v>
      </c>
      <c r="AV447" s="41">
        <f>AW447+AX447</f>
        <v>0</v>
      </c>
      <c r="AW447" s="41">
        <f>F447*AO447</f>
        <v>0</v>
      </c>
      <c r="AX447" s="41">
        <f>F447*AP447</f>
        <v>0</v>
      </c>
      <c r="AY447" s="38" t="s">
        <v>282</v>
      </c>
      <c r="AZ447" s="38" t="s">
        <v>251</v>
      </c>
      <c r="BA447" s="8" t="s">
        <v>518</v>
      </c>
      <c r="BC447" s="41">
        <f>AW447+AX447</f>
        <v>0</v>
      </c>
      <c r="BD447" s="41">
        <f>G447/(100-BE447)*100</f>
        <v>0</v>
      </c>
      <c r="BE447" s="41">
        <v>0</v>
      </c>
      <c r="BF447" s="41">
        <f>447</f>
        <v>447</v>
      </c>
      <c r="BH447" s="41">
        <f>F447*AO447</f>
        <v>0</v>
      </c>
      <c r="BI447" s="41">
        <f>F447*AP447</f>
        <v>0</v>
      </c>
      <c r="BJ447" s="41">
        <f>F447*G447</f>
        <v>0</v>
      </c>
      <c r="BK447" s="41"/>
      <c r="BL447" s="41"/>
      <c r="BW447" s="41">
        <v>12</v>
      </c>
    </row>
    <row r="448" spans="1:75" ht="15" customHeight="1">
      <c r="A448" s="17"/>
      <c r="C448" s="7" t="s">
        <v>265</v>
      </c>
      <c r="D448" s="7" t="s">
        <v>469</v>
      </c>
      <c r="F448" s="52">
        <v>19.974820000000001</v>
      </c>
      <c r="K448" s="34"/>
    </row>
    <row r="449" spans="1:75" ht="13.5" customHeight="1">
      <c r="A449" s="26" t="s">
        <v>437</v>
      </c>
      <c r="B449" s="46" t="s">
        <v>448</v>
      </c>
      <c r="C449" s="66" t="s">
        <v>300</v>
      </c>
      <c r="D449" s="63"/>
      <c r="E449" s="46" t="s">
        <v>322</v>
      </c>
      <c r="F449" s="41">
        <v>379.52157999999997</v>
      </c>
      <c r="G449" s="41">
        <v>0</v>
      </c>
      <c r="H449" s="41">
        <f>F449*AO449</f>
        <v>0</v>
      </c>
      <c r="I449" s="41">
        <f>F449*AP449</f>
        <v>0</v>
      </c>
      <c r="J449" s="41">
        <f>F449*G449</f>
        <v>0</v>
      </c>
      <c r="K449" s="13" t="s">
        <v>313</v>
      </c>
      <c r="Z449" s="41">
        <f>IF(AQ449="5",BJ449,0)</f>
        <v>0</v>
      </c>
      <c r="AB449" s="41">
        <f>IF(AQ449="1",BH449,0)</f>
        <v>0</v>
      </c>
      <c r="AC449" s="41">
        <f>IF(AQ449="1",BI449,0)</f>
        <v>0</v>
      </c>
      <c r="AD449" s="41">
        <f>IF(AQ449="7",BH449,0)</f>
        <v>0</v>
      </c>
      <c r="AE449" s="41">
        <f>IF(AQ449="7",BI449,0)</f>
        <v>0</v>
      </c>
      <c r="AF449" s="41">
        <f>IF(AQ449="2",BH449,0)</f>
        <v>0</v>
      </c>
      <c r="AG449" s="41">
        <f>IF(AQ449="2",BI449,0)</f>
        <v>0</v>
      </c>
      <c r="AH449" s="41">
        <f>IF(AQ449="0",BJ449,0)</f>
        <v>0</v>
      </c>
      <c r="AI449" s="8" t="s">
        <v>469</v>
      </c>
      <c r="AJ449" s="41">
        <f>IF(AN449=0,J449,0)</f>
        <v>0</v>
      </c>
      <c r="AK449" s="41">
        <f>IF(AN449=12,J449,0)</f>
        <v>0</v>
      </c>
      <c r="AL449" s="41">
        <f>IF(AN449=21,J449,0)</f>
        <v>0</v>
      </c>
      <c r="AN449" s="41">
        <v>12</v>
      </c>
      <c r="AO449" s="41">
        <f>G449*0</f>
        <v>0</v>
      </c>
      <c r="AP449" s="41">
        <f>G449*(1-0)</f>
        <v>0</v>
      </c>
      <c r="AQ449" s="38" t="s">
        <v>372</v>
      </c>
      <c r="AV449" s="41">
        <f>AW449+AX449</f>
        <v>0</v>
      </c>
      <c r="AW449" s="41">
        <f>F449*AO449</f>
        <v>0</v>
      </c>
      <c r="AX449" s="41">
        <f>F449*AP449</f>
        <v>0</v>
      </c>
      <c r="AY449" s="38" t="s">
        <v>282</v>
      </c>
      <c r="AZ449" s="38" t="s">
        <v>251</v>
      </c>
      <c r="BA449" s="8" t="s">
        <v>518</v>
      </c>
      <c r="BC449" s="41">
        <f>AW449+AX449</f>
        <v>0</v>
      </c>
      <c r="BD449" s="41">
        <f>G449/(100-BE449)*100</f>
        <v>0</v>
      </c>
      <c r="BE449" s="41">
        <v>0</v>
      </c>
      <c r="BF449" s="41">
        <f>449</f>
        <v>449</v>
      </c>
      <c r="BH449" s="41">
        <f>F449*AO449</f>
        <v>0</v>
      </c>
      <c r="BI449" s="41">
        <f>F449*AP449</f>
        <v>0</v>
      </c>
      <c r="BJ449" s="41">
        <f>F449*G449</f>
        <v>0</v>
      </c>
      <c r="BK449" s="41"/>
      <c r="BL449" s="41"/>
      <c r="BW449" s="41">
        <v>12</v>
      </c>
    </row>
    <row r="450" spans="1:75" ht="15" customHeight="1">
      <c r="A450" s="17"/>
      <c r="C450" s="7" t="s">
        <v>179</v>
      </c>
      <c r="D450" s="7" t="s">
        <v>469</v>
      </c>
      <c r="F450" s="52">
        <v>379.52158000000003</v>
      </c>
      <c r="K450" s="34"/>
    </row>
    <row r="451" spans="1:75" ht="13.5" customHeight="1">
      <c r="A451" s="26" t="s">
        <v>731</v>
      </c>
      <c r="B451" s="46" t="s">
        <v>261</v>
      </c>
      <c r="C451" s="66" t="s">
        <v>623</v>
      </c>
      <c r="D451" s="63"/>
      <c r="E451" s="46" t="s">
        <v>322</v>
      </c>
      <c r="F451" s="41">
        <v>3.0817199999999998</v>
      </c>
      <c r="G451" s="41">
        <v>0</v>
      </c>
      <c r="H451" s="41">
        <f>F451*AO451</f>
        <v>0</v>
      </c>
      <c r="I451" s="41">
        <f>F451*AP451</f>
        <v>0</v>
      </c>
      <c r="J451" s="41">
        <f>F451*G451</f>
        <v>0</v>
      </c>
      <c r="K451" s="13" t="s">
        <v>313</v>
      </c>
      <c r="Z451" s="41">
        <f>IF(AQ451="5",BJ451,0)</f>
        <v>0</v>
      </c>
      <c r="AB451" s="41">
        <f>IF(AQ451="1",BH451,0)</f>
        <v>0</v>
      </c>
      <c r="AC451" s="41">
        <f>IF(AQ451="1",BI451,0)</f>
        <v>0</v>
      </c>
      <c r="AD451" s="41">
        <f>IF(AQ451="7",BH451,0)</f>
        <v>0</v>
      </c>
      <c r="AE451" s="41">
        <f>IF(AQ451="7",BI451,0)</f>
        <v>0</v>
      </c>
      <c r="AF451" s="41">
        <f>IF(AQ451="2",BH451,0)</f>
        <v>0</v>
      </c>
      <c r="AG451" s="41">
        <f>IF(AQ451="2",BI451,0)</f>
        <v>0</v>
      </c>
      <c r="AH451" s="41">
        <f>IF(AQ451="0",BJ451,0)</f>
        <v>0</v>
      </c>
      <c r="AI451" s="8" t="s">
        <v>469</v>
      </c>
      <c r="AJ451" s="41">
        <f>IF(AN451=0,J451,0)</f>
        <v>0</v>
      </c>
      <c r="AK451" s="41">
        <f>IF(AN451=12,J451,0)</f>
        <v>0</v>
      </c>
      <c r="AL451" s="41">
        <f>IF(AN451=21,J451,0)</f>
        <v>0</v>
      </c>
      <c r="AN451" s="41">
        <v>12</v>
      </c>
      <c r="AO451" s="41">
        <f>G451*0</f>
        <v>0</v>
      </c>
      <c r="AP451" s="41">
        <f>G451*(1-0)</f>
        <v>0</v>
      </c>
      <c r="AQ451" s="38" t="s">
        <v>372</v>
      </c>
      <c r="AV451" s="41">
        <f>AW451+AX451</f>
        <v>0</v>
      </c>
      <c r="AW451" s="41">
        <f>F451*AO451</f>
        <v>0</v>
      </c>
      <c r="AX451" s="41">
        <f>F451*AP451</f>
        <v>0</v>
      </c>
      <c r="AY451" s="38" t="s">
        <v>282</v>
      </c>
      <c r="AZ451" s="38" t="s">
        <v>251</v>
      </c>
      <c r="BA451" s="8" t="s">
        <v>518</v>
      </c>
      <c r="BC451" s="41">
        <f>AW451+AX451</f>
        <v>0</v>
      </c>
      <c r="BD451" s="41">
        <f>G451/(100-BE451)*100</f>
        <v>0</v>
      </c>
      <c r="BE451" s="41">
        <v>0</v>
      </c>
      <c r="BF451" s="41">
        <f>451</f>
        <v>451</v>
      </c>
      <c r="BH451" s="41">
        <f>F451*AO451</f>
        <v>0</v>
      </c>
      <c r="BI451" s="41">
        <f>F451*AP451</f>
        <v>0</v>
      </c>
      <c r="BJ451" s="41">
        <f>F451*G451</f>
        <v>0</v>
      </c>
      <c r="BK451" s="41"/>
      <c r="BL451" s="41"/>
      <c r="BW451" s="41">
        <v>12</v>
      </c>
    </row>
    <row r="452" spans="1:75" ht="15" customHeight="1">
      <c r="A452" s="17"/>
      <c r="C452" s="7" t="s">
        <v>46</v>
      </c>
      <c r="D452" s="7" t="s">
        <v>469</v>
      </c>
      <c r="F452" s="52">
        <v>3.0817200000000002</v>
      </c>
      <c r="K452" s="34"/>
    </row>
    <row r="453" spans="1:75" ht="13.5" customHeight="1">
      <c r="A453" s="26" t="s">
        <v>479</v>
      </c>
      <c r="B453" s="46" t="s">
        <v>417</v>
      </c>
      <c r="C453" s="66" t="s">
        <v>235</v>
      </c>
      <c r="D453" s="63"/>
      <c r="E453" s="46" t="s">
        <v>322</v>
      </c>
      <c r="F453" s="41">
        <v>1.6699200000000001</v>
      </c>
      <c r="G453" s="41">
        <v>0</v>
      </c>
      <c r="H453" s="41">
        <f>F453*AO453</f>
        <v>0</v>
      </c>
      <c r="I453" s="41">
        <f>F453*AP453</f>
        <v>0</v>
      </c>
      <c r="J453" s="41">
        <f>F453*G453</f>
        <v>0</v>
      </c>
      <c r="K453" s="13" t="s">
        <v>313</v>
      </c>
      <c r="Z453" s="41">
        <f>IF(AQ453="5",BJ453,0)</f>
        <v>0</v>
      </c>
      <c r="AB453" s="41">
        <f>IF(AQ453="1",BH453,0)</f>
        <v>0</v>
      </c>
      <c r="AC453" s="41">
        <f>IF(AQ453="1",BI453,0)</f>
        <v>0</v>
      </c>
      <c r="AD453" s="41">
        <f>IF(AQ453="7",BH453,0)</f>
        <v>0</v>
      </c>
      <c r="AE453" s="41">
        <f>IF(AQ453="7",BI453,0)</f>
        <v>0</v>
      </c>
      <c r="AF453" s="41">
        <f>IF(AQ453="2",BH453,0)</f>
        <v>0</v>
      </c>
      <c r="AG453" s="41">
        <f>IF(AQ453="2",BI453,0)</f>
        <v>0</v>
      </c>
      <c r="AH453" s="41">
        <f>IF(AQ453="0",BJ453,0)</f>
        <v>0</v>
      </c>
      <c r="AI453" s="8" t="s">
        <v>469</v>
      </c>
      <c r="AJ453" s="41">
        <f>IF(AN453=0,J453,0)</f>
        <v>0</v>
      </c>
      <c r="AK453" s="41">
        <f>IF(AN453=12,J453,0)</f>
        <v>0</v>
      </c>
      <c r="AL453" s="41">
        <f>IF(AN453=21,J453,0)</f>
        <v>0</v>
      </c>
      <c r="AN453" s="41">
        <v>12</v>
      </c>
      <c r="AO453" s="41">
        <f>G453*0</f>
        <v>0</v>
      </c>
      <c r="AP453" s="41">
        <f>G453*(1-0)</f>
        <v>0</v>
      </c>
      <c r="AQ453" s="38" t="s">
        <v>372</v>
      </c>
      <c r="AV453" s="41">
        <f>AW453+AX453</f>
        <v>0</v>
      </c>
      <c r="AW453" s="41">
        <f>F453*AO453</f>
        <v>0</v>
      </c>
      <c r="AX453" s="41">
        <f>F453*AP453</f>
        <v>0</v>
      </c>
      <c r="AY453" s="38" t="s">
        <v>282</v>
      </c>
      <c r="AZ453" s="38" t="s">
        <v>251</v>
      </c>
      <c r="BA453" s="8" t="s">
        <v>518</v>
      </c>
      <c r="BC453" s="41">
        <f>AW453+AX453</f>
        <v>0</v>
      </c>
      <c r="BD453" s="41">
        <f>G453/(100-BE453)*100</f>
        <v>0</v>
      </c>
      <c r="BE453" s="41">
        <v>0</v>
      </c>
      <c r="BF453" s="41">
        <f>453</f>
        <v>453</v>
      </c>
      <c r="BH453" s="41">
        <f>F453*AO453</f>
        <v>0</v>
      </c>
      <c r="BI453" s="41">
        <f>F453*AP453</f>
        <v>0</v>
      </c>
      <c r="BJ453" s="41">
        <f>F453*G453</f>
        <v>0</v>
      </c>
      <c r="BK453" s="41"/>
      <c r="BL453" s="41"/>
      <c r="BW453" s="41">
        <v>12</v>
      </c>
    </row>
    <row r="454" spans="1:75" ht="15" customHeight="1">
      <c r="A454" s="17"/>
      <c r="C454" s="7" t="s">
        <v>301</v>
      </c>
      <c r="D454" s="7" t="s">
        <v>469</v>
      </c>
      <c r="F454" s="52">
        <v>1.6699200000000001</v>
      </c>
      <c r="K454" s="34"/>
    </row>
    <row r="455" spans="1:75" ht="13.5" customHeight="1">
      <c r="A455" s="26" t="s">
        <v>737</v>
      </c>
      <c r="B455" s="46" t="s">
        <v>668</v>
      </c>
      <c r="C455" s="66" t="s">
        <v>344</v>
      </c>
      <c r="D455" s="63"/>
      <c r="E455" s="46" t="s">
        <v>322</v>
      </c>
      <c r="F455" s="41">
        <v>15.12</v>
      </c>
      <c r="G455" s="41">
        <v>0</v>
      </c>
      <c r="H455" s="41">
        <f>F455*AO455</f>
        <v>0</v>
      </c>
      <c r="I455" s="41">
        <f>F455*AP455</f>
        <v>0</v>
      </c>
      <c r="J455" s="41">
        <f>F455*G455</f>
        <v>0</v>
      </c>
      <c r="K455" s="13" t="s">
        <v>313</v>
      </c>
      <c r="Z455" s="41">
        <f>IF(AQ455="5",BJ455,0)</f>
        <v>0</v>
      </c>
      <c r="AB455" s="41">
        <f>IF(AQ455="1",BH455,0)</f>
        <v>0</v>
      </c>
      <c r="AC455" s="41">
        <f>IF(AQ455="1",BI455,0)</f>
        <v>0</v>
      </c>
      <c r="AD455" s="41">
        <f>IF(AQ455="7",BH455,0)</f>
        <v>0</v>
      </c>
      <c r="AE455" s="41">
        <f>IF(AQ455="7",BI455,0)</f>
        <v>0</v>
      </c>
      <c r="AF455" s="41">
        <f>IF(AQ455="2",BH455,0)</f>
        <v>0</v>
      </c>
      <c r="AG455" s="41">
        <f>IF(AQ455="2",BI455,0)</f>
        <v>0</v>
      </c>
      <c r="AH455" s="41">
        <f>IF(AQ455="0",BJ455,0)</f>
        <v>0</v>
      </c>
      <c r="AI455" s="8" t="s">
        <v>469</v>
      </c>
      <c r="AJ455" s="41">
        <f>IF(AN455=0,J455,0)</f>
        <v>0</v>
      </c>
      <c r="AK455" s="41">
        <f>IF(AN455=12,J455,0)</f>
        <v>0</v>
      </c>
      <c r="AL455" s="41">
        <f>IF(AN455=21,J455,0)</f>
        <v>0</v>
      </c>
      <c r="AN455" s="41">
        <v>12</v>
      </c>
      <c r="AO455" s="41">
        <f>G455*0</f>
        <v>0</v>
      </c>
      <c r="AP455" s="41">
        <f>G455*(1-0)</f>
        <v>0</v>
      </c>
      <c r="AQ455" s="38" t="s">
        <v>372</v>
      </c>
      <c r="AV455" s="41">
        <f>AW455+AX455</f>
        <v>0</v>
      </c>
      <c r="AW455" s="41">
        <f>F455*AO455</f>
        <v>0</v>
      </c>
      <c r="AX455" s="41">
        <f>F455*AP455</f>
        <v>0</v>
      </c>
      <c r="AY455" s="38" t="s">
        <v>282</v>
      </c>
      <c r="AZ455" s="38" t="s">
        <v>251</v>
      </c>
      <c r="BA455" s="8" t="s">
        <v>518</v>
      </c>
      <c r="BC455" s="41">
        <f>AW455+AX455</f>
        <v>0</v>
      </c>
      <c r="BD455" s="41">
        <f>G455/(100-BE455)*100</f>
        <v>0</v>
      </c>
      <c r="BE455" s="41">
        <v>0</v>
      </c>
      <c r="BF455" s="41">
        <f>455</f>
        <v>455</v>
      </c>
      <c r="BH455" s="41">
        <f>F455*AO455</f>
        <v>0</v>
      </c>
      <c r="BI455" s="41">
        <f>F455*AP455</f>
        <v>0</v>
      </c>
      <c r="BJ455" s="41">
        <f>F455*G455</f>
        <v>0</v>
      </c>
      <c r="BK455" s="41"/>
      <c r="BL455" s="41"/>
      <c r="BW455" s="41">
        <v>12</v>
      </c>
    </row>
    <row r="456" spans="1:75" ht="15" customHeight="1">
      <c r="A456" s="17"/>
      <c r="C456" s="7" t="s">
        <v>385</v>
      </c>
      <c r="D456" s="7" t="s">
        <v>469</v>
      </c>
      <c r="F456" s="52">
        <v>15.120000000000001</v>
      </c>
      <c r="K456" s="34"/>
    </row>
    <row r="457" spans="1:75" ht="13.5" customHeight="1">
      <c r="A457" s="26" t="s">
        <v>689</v>
      </c>
      <c r="B457" s="46" t="s">
        <v>160</v>
      </c>
      <c r="C457" s="66" t="s">
        <v>672</v>
      </c>
      <c r="D457" s="63"/>
      <c r="E457" s="46" t="s">
        <v>322</v>
      </c>
      <c r="F457" s="41">
        <v>0.10317999999999999</v>
      </c>
      <c r="G457" s="41">
        <v>0</v>
      </c>
      <c r="H457" s="41">
        <f>F457*AO457</f>
        <v>0</v>
      </c>
      <c r="I457" s="41">
        <f>F457*AP457</f>
        <v>0</v>
      </c>
      <c r="J457" s="41">
        <f>F457*G457</f>
        <v>0</v>
      </c>
      <c r="K457" s="13" t="s">
        <v>313</v>
      </c>
      <c r="Z457" s="41">
        <f>IF(AQ457="5",BJ457,0)</f>
        <v>0</v>
      </c>
      <c r="AB457" s="41">
        <f>IF(AQ457="1",BH457,0)</f>
        <v>0</v>
      </c>
      <c r="AC457" s="41">
        <f>IF(AQ457="1",BI457,0)</f>
        <v>0</v>
      </c>
      <c r="AD457" s="41">
        <f>IF(AQ457="7",BH457,0)</f>
        <v>0</v>
      </c>
      <c r="AE457" s="41">
        <f>IF(AQ457="7",BI457,0)</f>
        <v>0</v>
      </c>
      <c r="AF457" s="41">
        <f>IF(AQ457="2",BH457,0)</f>
        <v>0</v>
      </c>
      <c r="AG457" s="41">
        <f>IF(AQ457="2",BI457,0)</f>
        <v>0</v>
      </c>
      <c r="AH457" s="41">
        <f>IF(AQ457="0",BJ457,0)</f>
        <v>0</v>
      </c>
      <c r="AI457" s="8" t="s">
        <v>469</v>
      </c>
      <c r="AJ457" s="41">
        <f>IF(AN457=0,J457,0)</f>
        <v>0</v>
      </c>
      <c r="AK457" s="41">
        <f>IF(AN457=12,J457,0)</f>
        <v>0</v>
      </c>
      <c r="AL457" s="41">
        <f>IF(AN457=21,J457,0)</f>
        <v>0</v>
      </c>
      <c r="AN457" s="41">
        <v>12</v>
      </c>
      <c r="AO457" s="41">
        <f>G457*0</f>
        <v>0</v>
      </c>
      <c r="AP457" s="41">
        <f>G457*(1-0)</f>
        <v>0</v>
      </c>
      <c r="AQ457" s="38" t="s">
        <v>372</v>
      </c>
      <c r="AV457" s="41">
        <f>AW457+AX457</f>
        <v>0</v>
      </c>
      <c r="AW457" s="41">
        <f>F457*AO457</f>
        <v>0</v>
      </c>
      <c r="AX457" s="41">
        <f>F457*AP457</f>
        <v>0</v>
      </c>
      <c r="AY457" s="38" t="s">
        <v>282</v>
      </c>
      <c r="AZ457" s="38" t="s">
        <v>251</v>
      </c>
      <c r="BA457" s="8" t="s">
        <v>518</v>
      </c>
      <c r="BC457" s="41">
        <f>AW457+AX457</f>
        <v>0</v>
      </c>
      <c r="BD457" s="41">
        <f>G457/(100-BE457)*100</f>
        <v>0</v>
      </c>
      <c r="BE457" s="41">
        <v>0</v>
      </c>
      <c r="BF457" s="41">
        <f>457</f>
        <v>457</v>
      </c>
      <c r="BH457" s="41">
        <f>F457*AO457</f>
        <v>0</v>
      </c>
      <c r="BI457" s="41">
        <f>F457*AP457</f>
        <v>0</v>
      </c>
      <c r="BJ457" s="41">
        <f>F457*G457</f>
        <v>0</v>
      </c>
      <c r="BK457" s="41"/>
      <c r="BL457" s="41"/>
      <c r="BW457" s="41">
        <v>12</v>
      </c>
    </row>
    <row r="458" spans="1:75" ht="15" customHeight="1">
      <c r="A458" s="17"/>
      <c r="C458" s="7" t="s">
        <v>685</v>
      </c>
      <c r="D458" s="7" t="s">
        <v>469</v>
      </c>
      <c r="F458" s="52">
        <v>0.10318000000000001</v>
      </c>
      <c r="K458" s="34"/>
    </row>
    <row r="459" spans="1:75" ht="15" customHeight="1">
      <c r="A459" s="11" t="s">
        <v>469</v>
      </c>
      <c r="B459" s="16" t="s">
        <v>149</v>
      </c>
      <c r="C459" s="79" t="s">
        <v>341</v>
      </c>
      <c r="D459" s="80"/>
      <c r="E459" s="58" t="s">
        <v>619</v>
      </c>
      <c r="F459" s="58" t="s">
        <v>619</v>
      </c>
      <c r="G459" s="58" t="s">
        <v>619</v>
      </c>
      <c r="H459" s="49">
        <f>SUM(H460:H462)</f>
        <v>0</v>
      </c>
      <c r="I459" s="49">
        <f>SUM(I460:I462)</f>
        <v>0</v>
      </c>
      <c r="J459" s="49">
        <f>SUM(J460:J462)</f>
        <v>0</v>
      </c>
      <c r="K459" s="32" t="s">
        <v>469</v>
      </c>
      <c r="AI459" s="8" t="s">
        <v>469</v>
      </c>
      <c r="AS459" s="49">
        <f>SUM(AJ460:AJ462)</f>
        <v>0</v>
      </c>
      <c r="AT459" s="49">
        <f>SUM(AK460:AK462)</f>
        <v>0</v>
      </c>
      <c r="AU459" s="49">
        <f>SUM(AL460:AL462)</f>
        <v>0</v>
      </c>
    </row>
    <row r="460" spans="1:75" ht="13.5" customHeight="1">
      <c r="A460" s="26" t="s">
        <v>640</v>
      </c>
      <c r="B460" s="46" t="s">
        <v>363</v>
      </c>
      <c r="C460" s="66" t="s">
        <v>80</v>
      </c>
      <c r="D460" s="63"/>
      <c r="E460" s="46" t="s">
        <v>585</v>
      </c>
      <c r="F460" s="41">
        <v>3.25</v>
      </c>
      <c r="G460" s="41">
        <v>0</v>
      </c>
      <c r="H460" s="41">
        <f>F460*AO460</f>
        <v>0</v>
      </c>
      <c r="I460" s="41">
        <f>F460*AP460</f>
        <v>0</v>
      </c>
      <c r="J460" s="41">
        <f>F460*G460</f>
        <v>0</v>
      </c>
      <c r="K460" s="13" t="s">
        <v>469</v>
      </c>
      <c r="Z460" s="41">
        <f>IF(AQ460="5",BJ460,0)</f>
        <v>0</v>
      </c>
      <c r="AB460" s="41">
        <f>IF(AQ460="1",BH460,0)</f>
        <v>0</v>
      </c>
      <c r="AC460" s="41">
        <f>IF(AQ460="1",BI460,0)</f>
        <v>0</v>
      </c>
      <c r="AD460" s="41">
        <f>IF(AQ460="7",BH460,0)</f>
        <v>0</v>
      </c>
      <c r="AE460" s="41">
        <f>IF(AQ460="7",BI460,0)</f>
        <v>0</v>
      </c>
      <c r="AF460" s="41">
        <f>IF(AQ460="2",BH460,0)</f>
        <v>0</v>
      </c>
      <c r="AG460" s="41">
        <f>IF(AQ460="2",BI460,0)</f>
        <v>0</v>
      </c>
      <c r="AH460" s="41">
        <f>IF(AQ460="0",BJ460,0)</f>
        <v>0</v>
      </c>
      <c r="AI460" s="8" t="s">
        <v>469</v>
      </c>
      <c r="AJ460" s="41">
        <f>IF(AN460=0,J460,0)</f>
        <v>0</v>
      </c>
      <c r="AK460" s="41">
        <f>IF(AN460=12,J460,0)</f>
        <v>0</v>
      </c>
      <c r="AL460" s="41">
        <f>IF(AN460=21,J460,0)</f>
        <v>0</v>
      </c>
      <c r="AN460" s="41">
        <v>12</v>
      </c>
      <c r="AO460" s="41">
        <f>G460*0</f>
        <v>0</v>
      </c>
      <c r="AP460" s="41">
        <f>G460*(1-0)</f>
        <v>0</v>
      </c>
      <c r="AQ460" s="38" t="s">
        <v>661</v>
      </c>
      <c r="AV460" s="41">
        <f>AW460+AX460</f>
        <v>0</v>
      </c>
      <c r="AW460" s="41">
        <f>F460*AO460</f>
        <v>0</v>
      </c>
      <c r="AX460" s="41">
        <f>F460*AP460</f>
        <v>0</v>
      </c>
      <c r="AY460" s="38" t="s">
        <v>119</v>
      </c>
      <c r="AZ460" s="38" t="s">
        <v>588</v>
      </c>
      <c r="BA460" s="8" t="s">
        <v>518</v>
      </c>
      <c r="BC460" s="41">
        <f>AW460+AX460</f>
        <v>0</v>
      </c>
      <c r="BD460" s="41">
        <f>G460/(100-BE460)*100</f>
        <v>0</v>
      </c>
      <c r="BE460" s="41">
        <v>0</v>
      </c>
      <c r="BF460" s="41">
        <f>460</f>
        <v>460</v>
      </c>
      <c r="BH460" s="41">
        <f>F460*AO460</f>
        <v>0</v>
      </c>
      <c r="BI460" s="41">
        <f>F460*AP460</f>
        <v>0</v>
      </c>
      <c r="BJ460" s="41">
        <f>F460*G460</f>
        <v>0</v>
      </c>
      <c r="BK460" s="41"/>
      <c r="BL460" s="41"/>
      <c r="BW460" s="41">
        <v>12</v>
      </c>
    </row>
    <row r="461" spans="1:75" ht="13.5" customHeight="1">
      <c r="A461" s="26" t="s">
        <v>367</v>
      </c>
      <c r="B461" s="46" t="s">
        <v>297</v>
      </c>
      <c r="C461" s="66" t="s">
        <v>371</v>
      </c>
      <c r="D461" s="63"/>
      <c r="E461" s="46" t="s">
        <v>585</v>
      </c>
      <c r="F461" s="41">
        <v>1.6</v>
      </c>
      <c r="G461" s="41">
        <v>0</v>
      </c>
      <c r="H461" s="41">
        <f>F461*AO461</f>
        <v>0</v>
      </c>
      <c r="I461" s="41">
        <f>F461*AP461</f>
        <v>0</v>
      </c>
      <c r="J461" s="41">
        <f>F461*G461</f>
        <v>0</v>
      </c>
      <c r="K461" s="13" t="s">
        <v>469</v>
      </c>
      <c r="Z461" s="41">
        <f>IF(AQ461="5",BJ461,0)</f>
        <v>0</v>
      </c>
      <c r="AB461" s="41">
        <f>IF(AQ461="1",BH461,0)</f>
        <v>0</v>
      </c>
      <c r="AC461" s="41">
        <f>IF(AQ461="1",BI461,0)</f>
        <v>0</v>
      </c>
      <c r="AD461" s="41">
        <f>IF(AQ461="7",BH461,0)</f>
        <v>0</v>
      </c>
      <c r="AE461" s="41">
        <f>IF(AQ461="7",BI461,0)</f>
        <v>0</v>
      </c>
      <c r="AF461" s="41">
        <f>IF(AQ461="2",BH461,0)</f>
        <v>0</v>
      </c>
      <c r="AG461" s="41">
        <f>IF(AQ461="2",BI461,0)</f>
        <v>0</v>
      </c>
      <c r="AH461" s="41">
        <f>IF(AQ461="0",BJ461,0)</f>
        <v>0</v>
      </c>
      <c r="AI461" s="8" t="s">
        <v>469</v>
      </c>
      <c r="AJ461" s="41">
        <f>IF(AN461=0,J461,0)</f>
        <v>0</v>
      </c>
      <c r="AK461" s="41">
        <f>IF(AN461=12,J461,0)</f>
        <v>0</v>
      </c>
      <c r="AL461" s="41">
        <f>IF(AN461=21,J461,0)</f>
        <v>0</v>
      </c>
      <c r="AN461" s="41">
        <v>12</v>
      </c>
      <c r="AO461" s="41">
        <f>G461*0</f>
        <v>0</v>
      </c>
      <c r="AP461" s="41">
        <f>G461*(1-0)</f>
        <v>0</v>
      </c>
      <c r="AQ461" s="38" t="s">
        <v>661</v>
      </c>
      <c r="AV461" s="41">
        <f>AW461+AX461</f>
        <v>0</v>
      </c>
      <c r="AW461" s="41">
        <f>F461*AO461</f>
        <v>0</v>
      </c>
      <c r="AX461" s="41">
        <f>F461*AP461</f>
        <v>0</v>
      </c>
      <c r="AY461" s="38" t="s">
        <v>119</v>
      </c>
      <c r="AZ461" s="38" t="s">
        <v>588</v>
      </c>
      <c r="BA461" s="8" t="s">
        <v>518</v>
      </c>
      <c r="BC461" s="41">
        <f>AW461+AX461</f>
        <v>0</v>
      </c>
      <c r="BD461" s="41">
        <f>G461/(100-BE461)*100</f>
        <v>0</v>
      </c>
      <c r="BE461" s="41">
        <v>0</v>
      </c>
      <c r="BF461" s="41">
        <f>461</f>
        <v>461</v>
      </c>
      <c r="BH461" s="41">
        <f>F461*AO461</f>
        <v>0</v>
      </c>
      <c r="BI461" s="41">
        <f>F461*AP461</f>
        <v>0</v>
      </c>
      <c r="BJ461" s="41">
        <f>F461*G461</f>
        <v>0</v>
      </c>
      <c r="BK461" s="41"/>
      <c r="BL461" s="41"/>
      <c r="BW461" s="41">
        <v>12</v>
      </c>
    </row>
    <row r="462" spans="1:75" ht="13.5" customHeight="1">
      <c r="A462" s="29" t="s">
        <v>323</v>
      </c>
      <c r="B462" s="15" t="s">
        <v>359</v>
      </c>
      <c r="C462" s="81" t="s">
        <v>443</v>
      </c>
      <c r="D462" s="82"/>
      <c r="E462" s="15" t="s">
        <v>585</v>
      </c>
      <c r="F462" s="9">
        <v>1.5</v>
      </c>
      <c r="G462" s="9">
        <v>0</v>
      </c>
      <c r="H462" s="9">
        <f>F462*AO462</f>
        <v>0</v>
      </c>
      <c r="I462" s="9">
        <f>F462*AP462</f>
        <v>0</v>
      </c>
      <c r="J462" s="9">
        <f>F462*G462</f>
        <v>0</v>
      </c>
      <c r="K462" s="36" t="s">
        <v>469</v>
      </c>
      <c r="Z462" s="41">
        <f>IF(AQ462="5",BJ462,0)</f>
        <v>0</v>
      </c>
      <c r="AB462" s="41">
        <f>IF(AQ462="1",BH462,0)</f>
        <v>0</v>
      </c>
      <c r="AC462" s="41">
        <f>IF(AQ462="1",BI462,0)</f>
        <v>0</v>
      </c>
      <c r="AD462" s="41">
        <f>IF(AQ462="7",BH462,0)</f>
        <v>0</v>
      </c>
      <c r="AE462" s="41">
        <f>IF(AQ462="7",BI462,0)</f>
        <v>0</v>
      </c>
      <c r="AF462" s="41">
        <f>IF(AQ462="2",BH462,0)</f>
        <v>0</v>
      </c>
      <c r="AG462" s="41">
        <f>IF(AQ462="2",BI462,0)</f>
        <v>0</v>
      </c>
      <c r="AH462" s="41">
        <f>IF(AQ462="0",BJ462,0)</f>
        <v>0</v>
      </c>
      <c r="AI462" s="8" t="s">
        <v>469</v>
      </c>
      <c r="AJ462" s="41">
        <f>IF(AN462=0,J462,0)</f>
        <v>0</v>
      </c>
      <c r="AK462" s="41">
        <f>IF(AN462=12,J462,0)</f>
        <v>0</v>
      </c>
      <c r="AL462" s="41">
        <f>IF(AN462=21,J462,0)</f>
        <v>0</v>
      </c>
      <c r="AN462" s="41">
        <v>12</v>
      </c>
      <c r="AO462" s="41">
        <f>G462*0</f>
        <v>0</v>
      </c>
      <c r="AP462" s="41">
        <f>G462*(1-0)</f>
        <v>0</v>
      </c>
      <c r="AQ462" s="38" t="s">
        <v>661</v>
      </c>
      <c r="AV462" s="41">
        <f>AW462+AX462</f>
        <v>0</v>
      </c>
      <c r="AW462" s="41">
        <f>F462*AO462</f>
        <v>0</v>
      </c>
      <c r="AX462" s="41">
        <f>F462*AP462</f>
        <v>0</v>
      </c>
      <c r="AY462" s="38" t="s">
        <v>119</v>
      </c>
      <c r="AZ462" s="38" t="s">
        <v>588</v>
      </c>
      <c r="BA462" s="8" t="s">
        <v>518</v>
      </c>
      <c r="BC462" s="41">
        <f>AW462+AX462</f>
        <v>0</v>
      </c>
      <c r="BD462" s="41">
        <f>G462/(100-BE462)*100</f>
        <v>0</v>
      </c>
      <c r="BE462" s="41">
        <v>0</v>
      </c>
      <c r="BF462" s="41">
        <f>462</f>
        <v>462</v>
      </c>
      <c r="BH462" s="41">
        <f>F462*AO462</f>
        <v>0</v>
      </c>
      <c r="BI462" s="41">
        <f>F462*AP462</f>
        <v>0</v>
      </c>
      <c r="BJ462" s="41">
        <f>F462*G462</f>
        <v>0</v>
      </c>
      <c r="BK462" s="41"/>
      <c r="BL462" s="41"/>
      <c r="BW462" s="41">
        <v>12</v>
      </c>
    </row>
    <row r="463" spans="1:75" ht="15" customHeight="1">
      <c r="H463" s="69" t="s">
        <v>530</v>
      </c>
      <c r="I463" s="69"/>
      <c r="J463" s="6">
        <f>J12+J24+J27+J37+J137+J163+J184+J193+J249+J326+J329+J334+J353+J358+J437+J440+J459</f>
        <v>0</v>
      </c>
    </row>
    <row r="464" spans="1:75" ht="15" customHeight="1">
      <c r="A464" s="27" t="s">
        <v>68</v>
      </c>
    </row>
    <row r="465" spans="1:11" ht="12.75" customHeight="1">
      <c r="A465" s="66" t="s">
        <v>469</v>
      </c>
      <c r="B465" s="63"/>
      <c r="C465" s="63"/>
      <c r="D465" s="63"/>
      <c r="E465" s="63"/>
      <c r="F465" s="63"/>
      <c r="G465" s="63"/>
      <c r="H465" s="63"/>
      <c r="I465" s="63"/>
      <c r="J465" s="63"/>
      <c r="K465" s="63"/>
    </row>
  </sheetData>
  <mergeCells count="164">
    <mergeCell ref="C459:D459"/>
    <mergeCell ref="C460:D460"/>
    <mergeCell ref="C461:D461"/>
    <mergeCell ref="C462:D462"/>
    <mergeCell ref="H463:I463"/>
    <mergeCell ref="A465:K465"/>
    <mergeCell ref="C447:D447"/>
    <mergeCell ref="C449:D449"/>
    <mergeCell ref="C451:D451"/>
    <mergeCell ref="C453:D453"/>
    <mergeCell ref="C455:D455"/>
    <mergeCell ref="C457:D457"/>
    <mergeCell ref="C437:D437"/>
    <mergeCell ref="C438:D438"/>
    <mergeCell ref="C440:D440"/>
    <mergeCell ref="C441:D441"/>
    <mergeCell ref="C443:D443"/>
    <mergeCell ref="C445:D445"/>
    <mergeCell ref="C404:D404"/>
    <mergeCell ref="C419:D419"/>
    <mergeCell ref="C426:D426"/>
    <mergeCell ref="C430:D430"/>
    <mergeCell ref="C432:D432"/>
    <mergeCell ref="C435:D435"/>
    <mergeCell ref="C358:D358"/>
    <mergeCell ref="C359:D359"/>
    <mergeCell ref="C379:D379"/>
    <mergeCell ref="C381:D381"/>
    <mergeCell ref="C388:D388"/>
    <mergeCell ref="C396:D396"/>
    <mergeCell ref="C347:D347"/>
    <mergeCell ref="C349:D349"/>
    <mergeCell ref="C351:D351"/>
    <mergeCell ref="C353:D353"/>
    <mergeCell ref="C354:D354"/>
    <mergeCell ref="C356:D356"/>
    <mergeCell ref="C332:D332"/>
    <mergeCell ref="C334:D334"/>
    <mergeCell ref="C335:D335"/>
    <mergeCell ref="C341:D341"/>
    <mergeCell ref="C343:D343"/>
    <mergeCell ref="C345:D345"/>
    <mergeCell ref="C322:D322"/>
    <mergeCell ref="C324:D324"/>
    <mergeCell ref="C326:D326"/>
    <mergeCell ref="C327:D327"/>
    <mergeCell ref="C329:D329"/>
    <mergeCell ref="C330:D330"/>
    <mergeCell ref="C308:D308"/>
    <mergeCell ref="C310:D310"/>
    <mergeCell ref="C312:D312"/>
    <mergeCell ref="C314:D314"/>
    <mergeCell ref="C316:D316"/>
    <mergeCell ref="C320:D320"/>
    <mergeCell ref="C291:D291"/>
    <mergeCell ref="C293:D293"/>
    <mergeCell ref="C295:D295"/>
    <mergeCell ref="C297:D297"/>
    <mergeCell ref="C304:D304"/>
    <mergeCell ref="C306:D306"/>
    <mergeCell ref="C275:D275"/>
    <mergeCell ref="C277:D277"/>
    <mergeCell ref="C279:D279"/>
    <mergeCell ref="C281:D281"/>
    <mergeCell ref="C287:D287"/>
    <mergeCell ref="C289:D289"/>
    <mergeCell ref="C263:D263"/>
    <mergeCell ref="C265:D265"/>
    <mergeCell ref="C267:D267"/>
    <mergeCell ref="C269:D269"/>
    <mergeCell ref="C271:D271"/>
    <mergeCell ref="C273:D273"/>
    <mergeCell ref="C241:D241"/>
    <mergeCell ref="C243:D243"/>
    <mergeCell ref="C246:D246"/>
    <mergeCell ref="C249:D249"/>
    <mergeCell ref="C250:D250"/>
    <mergeCell ref="C261:D261"/>
    <mergeCell ref="C189:D189"/>
    <mergeCell ref="C191:D191"/>
    <mergeCell ref="C193:D193"/>
    <mergeCell ref="C194:D194"/>
    <mergeCell ref="C216:D216"/>
    <mergeCell ref="C239:D239"/>
    <mergeCell ref="C178:D178"/>
    <mergeCell ref="C180:D180"/>
    <mergeCell ref="C182:D182"/>
    <mergeCell ref="C184:D184"/>
    <mergeCell ref="C185:D185"/>
    <mergeCell ref="C187:D187"/>
    <mergeCell ref="C166:D166"/>
    <mergeCell ref="C168:D168"/>
    <mergeCell ref="C170:D170"/>
    <mergeCell ref="C172:D172"/>
    <mergeCell ref="C174:D174"/>
    <mergeCell ref="C176:D176"/>
    <mergeCell ref="C138:D138"/>
    <mergeCell ref="C152:D152"/>
    <mergeCell ref="C154:D154"/>
    <mergeCell ref="C157:D157"/>
    <mergeCell ref="C163:D163"/>
    <mergeCell ref="C164:D164"/>
    <mergeCell ref="C120:D120"/>
    <mergeCell ref="C123:D123"/>
    <mergeCell ref="C126:D126"/>
    <mergeCell ref="C128:D128"/>
    <mergeCell ref="C131:D131"/>
    <mergeCell ref="C137:D137"/>
    <mergeCell ref="C94:D94"/>
    <mergeCell ref="C101:D101"/>
    <mergeCell ref="C108:D108"/>
    <mergeCell ref="C111:D111"/>
    <mergeCell ref="C115:D115"/>
    <mergeCell ref="C118:D118"/>
    <mergeCell ref="C56:D56"/>
    <mergeCell ref="C62:D62"/>
    <mergeCell ref="C68:D68"/>
    <mergeCell ref="C72:D72"/>
    <mergeCell ref="C80:D80"/>
    <mergeCell ref="C87:D87"/>
    <mergeCell ref="C37:D37"/>
    <mergeCell ref="C38:D38"/>
    <mergeCell ref="C41:D41"/>
    <mergeCell ref="C44:D44"/>
    <mergeCell ref="C50:D50"/>
    <mergeCell ref="C53:D53"/>
    <mergeCell ref="C25:D25"/>
    <mergeCell ref="C27:D27"/>
    <mergeCell ref="C28:D28"/>
    <mergeCell ref="C31:D31"/>
    <mergeCell ref="C33:D33"/>
    <mergeCell ref="C35:D35"/>
    <mergeCell ref="C11:D11"/>
    <mergeCell ref="H10:J10"/>
    <mergeCell ref="C12:D12"/>
    <mergeCell ref="C13:D13"/>
    <mergeCell ref="C22:D22"/>
    <mergeCell ref="C24:D24"/>
    <mergeCell ref="G8:G9"/>
    <mergeCell ref="I2:K3"/>
    <mergeCell ref="I4:K5"/>
    <mergeCell ref="I6:K7"/>
    <mergeCell ref="I8:K9"/>
    <mergeCell ref="C10:D10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I37"/>
  <sheetViews>
    <sheetView showOutlineSymbols="0" workbookViewId="0">
      <selection activeCell="A37" sqref="A37:I37"/>
    </sheetView>
  </sheetViews>
  <sheetFormatPr defaultColWidth="14.1640625" defaultRowHeight="15" customHeight="1"/>
  <cols>
    <col min="1" max="1" width="10.6640625"/>
    <col min="2" max="2" width="15"/>
    <col min="3" max="3" width="31.6640625"/>
    <col min="4" max="4" width="11.6640625"/>
    <col min="5" max="5" width="16.33203125"/>
    <col min="6" max="6" width="31.6640625"/>
    <col min="7" max="7" width="10.6640625"/>
    <col min="8" max="8" width="15"/>
    <col min="9" max="9" width="31.6640625"/>
  </cols>
  <sheetData>
    <row r="1" spans="1:9" ht="54.75" customHeight="1">
      <c r="A1" s="83" t="s">
        <v>167</v>
      </c>
      <c r="B1" s="59"/>
      <c r="C1" s="59"/>
      <c r="D1" s="59"/>
      <c r="E1" s="59"/>
      <c r="F1" s="59"/>
      <c r="G1" s="59"/>
      <c r="H1" s="59"/>
      <c r="I1" s="59"/>
    </row>
    <row r="2" spans="1:9" ht="15" customHeight="1">
      <c r="A2" s="60" t="s">
        <v>52</v>
      </c>
      <c r="B2" s="61"/>
      <c r="C2" s="67" t="str">
        <f>'Stavební rozpočet'!C2</f>
        <v>BYTOVÝ DŮM - ZATEPLENÍ A VÝMĚNA VÝPLNÍ</v>
      </c>
      <c r="D2" s="68"/>
      <c r="E2" s="65" t="s">
        <v>565</v>
      </c>
      <c r="F2" s="65" t="str">
        <f>'Stavební rozpočet'!I2</f>
        <v>Obec Louka u Litvínova</v>
      </c>
      <c r="G2" s="61"/>
      <c r="H2" s="65" t="s">
        <v>442</v>
      </c>
      <c r="I2" s="70" t="s">
        <v>469</v>
      </c>
    </row>
    <row r="3" spans="1:9" ht="15" customHeight="1">
      <c r="A3" s="62"/>
      <c r="B3" s="63"/>
      <c r="C3" s="69"/>
      <c r="D3" s="69"/>
      <c r="E3" s="63"/>
      <c r="F3" s="63"/>
      <c r="G3" s="63"/>
      <c r="H3" s="63"/>
      <c r="I3" s="71"/>
    </row>
    <row r="4" spans="1:9" ht="15" customHeight="1">
      <c r="A4" s="64" t="s">
        <v>376</v>
      </c>
      <c r="B4" s="63"/>
      <c r="C4" s="66" t="str">
        <f>'Stavební rozpočet'!C4</f>
        <v>D.1.1.    ARCHITEKTONICKO-STAVEBNÍ ŘEŠENÍ</v>
      </c>
      <c r="D4" s="63"/>
      <c r="E4" s="66" t="s">
        <v>466</v>
      </c>
      <c r="F4" s="66" t="str">
        <f>'Stavební rozpočet'!I4</f>
        <v>CHEMINVEST  s.r.o.</v>
      </c>
      <c r="G4" s="63"/>
      <c r="H4" s="66" t="s">
        <v>442</v>
      </c>
      <c r="I4" s="71" t="s">
        <v>469</v>
      </c>
    </row>
    <row r="5" spans="1:9" ht="15" customHeight="1">
      <c r="A5" s="62"/>
      <c r="B5" s="63"/>
      <c r="C5" s="63"/>
      <c r="D5" s="63"/>
      <c r="E5" s="63"/>
      <c r="F5" s="63"/>
      <c r="G5" s="63"/>
      <c r="H5" s="63"/>
      <c r="I5" s="71"/>
    </row>
    <row r="6" spans="1:9" ht="15" customHeight="1">
      <c r="A6" s="64" t="s">
        <v>70</v>
      </c>
      <c r="B6" s="63"/>
      <c r="C6" s="66" t="str">
        <f>'Stavební rozpočet'!C6</f>
        <v>HUSOVA čp. 89, 43533 LOUKA U LITVÍNOVA</v>
      </c>
      <c r="D6" s="63"/>
      <c r="E6" s="66" t="s">
        <v>582</v>
      </c>
      <c r="F6" s="66" t="str">
        <f>'Stavební rozpočet'!I6</f>
        <v> </v>
      </c>
      <c r="G6" s="63"/>
      <c r="H6" s="66" t="s">
        <v>442</v>
      </c>
      <c r="I6" s="71" t="s">
        <v>469</v>
      </c>
    </row>
    <row r="7" spans="1:9" ht="15" customHeight="1">
      <c r="A7" s="62"/>
      <c r="B7" s="63"/>
      <c r="C7" s="63"/>
      <c r="D7" s="63"/>
      <c r="E7" s="63"/>
      <c r="F7" s="63"/>
      <c r="G7" s="63"/>
      <c r="H7" s="63"/>
      <c r="I7" s="71"/>
    </row>
    <row r="8" spans="1:9" ht="15" customHeight="1">
      <c r="A8" s="64" t="s">
        <v>593</v>
      </c>
      <c r="B8" s="63"/>
      <c r="C8" s="66" t="str">
        <f>'Stavební rozpočet'!G4</f>
        <v xml:space="preserve"> </v>
      </c>
      <c r="D8" s="63"/>
      <c r="E8" s="66" t="s">
        <v>226</v>
      </c>
      <c r="F8" s="66" t="str">
        <f>'Stavební rozpočet'!G6</f>
        <v xml:space="preserve"> </v>
      </c>
      <c r="G8" s="63"/>
      <c r="H8" s="63" t="s">
        <v>674</v>
      </c>
      <c r="I8" s="85">
        <v>117</v>
      </c>
    </row>
    <row r="9" spans="1:9" ht="15" customHeight="1">
      <c r="A9" s="62"/>
      <c r="B9" s="63"/>
      <c r="C9" s="63"/>
      <c r="D9" s="63"/>
      <c r="E9" s="63"/>
      <c r="F9" s="63"/>
      <c r="G9" s="63"/>
      <c r="H9" s="63"/>
      <c r="I9" s="71"/>
    </row>
    <row r="10" spans="1:9" ht="15" customHeight="1">
      <c r="A10" s="64" t="s">
        <v>337</v>
      </c>
      <c r="B10" s="63"/>
      <c r="C10" s="66" t="str">
        <f>'Stavební rozpočet'!C8</f>
        <v xml:space="preserve"> </v>
      </c>
      <c r="D10" s="63"/>
      <c r="E10" s="66" t="s">
        <v>452</v>
      </c>
      <c r="F10" s="66" t="str">
        <f>'Stavební rozpočet'!I8</f>
        <v>Kamila Možná</v>
      </c>
      <c r="G10" s="63"/>
      <c r="H10" s="63" t="s">
        <v>647</v>
      </c>
      <c r="I10" s="86" t="str">
        <f>'Stavební rozpočet'!G8</f>
        <v>14.11.2023</v>
      </c>
    </row>
    <row r="11" spans="1:9" ht="15" customHeight="1">
      <c r="A11" s="84"/>
      <c r="B11" s="82"/>
      <c r="C11" s="82"/>
      <c r="D11" s="82"/>
      <c r="E11" s="82"/>
      <c r="F11" s="82"/>
      <c r="G11" s="82"/>
      <c r="H11" s="82"/>
      <c r="I11" s="87"/>
    </row>
    <row r="12" spans="1:9" ht="22.5" customHeight="1">
      <c r="A12" s="88" t="s">
        <v>124</v>
      </c>
      <c r="B12" s="88"/>
      <c r="C12" s="88"/>
      <c r="D12" s="88"/>
      <c r="E12" s="88"/>
      <c r="F12" s="88"/>
      <c r="G12" s="88"/>
      <c r="H12" s="88"/>
      <c r="I12" s="88"/>
    </row>
    <row r="13" spans="1:9" ht="26.25" customHeight="1">
      <c r="A13" s="24" t="s">
        <v>599</v>
      </c>
      <c r="B13" s="89" t="s">
        <v>99</v>
      </c>
      <c r="C13" s="90"/>
      <c r="D13" s="57" t="s">
        <v>130</v>
      </c>
      <c r="E13" s="89" t="s">
        <v>254</v>
      </c>
      <c r="F13" s="90"/>
      <c r="G13" s="57" t="s">
        <v>432</v>
      </c>
      <c r="H13" s="89" t="s">
        <v>131</v>
      </c>
      <c r="I13" s="90"/>
    </row>
    <row r="14" spans="1:9" ht="15" customHeight="1">
      <c r="A14" s="55" t="s">
        <v>258</v>
      </c>
      <c r="B14" s="5" t="s">
        <v>186</v>
      </c>
      <c r="C14" s="28">
        <f>SUM('Stavební rozpočet'!AB12:AB462)</f>
        <v>0</v>
      </c>
      <c r="D14" s="97" t="s">
        <v>488</v>
      </c>
      <c r="E14" s="98"/>
      <c r="F14" s="28">
        <f>VORN!I15</f>
        <v>0</v>
      </c>
      <c r="G14" s="97" t="s">
        <v>80</v>
      </c>
      <c r="H14" s="98"/>
      <c r="I14" s="22">
        <f>VORN!I21</f>
        <v>0</v>
      </c>
    </row>
    <row r="15" spans="1:9" ht="15" customHeight="1">
      <c r="A15" s="54" t="s">
        <v>469</v>
      </c>
      <c r="B15" s="5" t="s">
        <v>138</v>
      </c>
      <c r="C15" s="28">
        <f>SUM('Stavební rozpočet'!AC12:AC462)</f>
        <v>0</v>
      </c>
      <c r="D15" s="97" t="s">
        <v>77</v>
      </c>
      <c r="E15" s="98"/>
      <c r="F15" s="28">
        <f>VORN!I16</f>
        <v>0</v>
      </c>
      <c r="G15" s="97" t="s">
        <v>532</v>
      </c>
      <c r="H15" s="98"/>
      <c r="I15" s="22">
        <f>VORN!I22</f>
        <v>0</v>
      </c>
    </row>
    <row r="16" spans="1:9" ht="15" customHeight="1">
      <c r="A16" s="55" t="s">
        <v>75</v>
      </c>
      <c r="B16" s="5" t="s">
        <v>186</v>
      </c>
      <c r="C16" s="28">
        <f>SUM('Stavební rozpočet'!AD12:AD462)</f>
        <v>0</v>
      </c>
      <c r="D16" s="97" t="s">
        <v>501</v>
      </c>
      <c r="E16" s="98"/>
      <c r="F16" s="28">
        <f>VORN!I17</f>
        <v>0</v>
      </c>
      <c r="G16" s="97" t="s">
        <v>641</v>
      </c>
      <c r="H16" s="98"/>
      <c r="I16" s="22">
        <f>VORN!I23</f>
        <v>0</v>
      </c>
    </row>
    <row r="17" spans="1:9" ht="15" customHeight="1">
      <c r="A17" s="54" t="s">
        <v>469</v>
      </c>
      <c r="B17" s="5" t="s">
        <v>138</v>
      </c>
      <c r="C17" s="28">
        <f>SUM('Stavební rozpočet'!AE12:AE462)</f>
        <v>0</v>
      </c>
      <c r="D17" s="97" t="s">
        <v>469</v>
      </c>
      <c r="E17" s="98"/>
      <c r="F17" s="22" t="s">
        <v>469</v>
      </c>
      <c r="G17" s="97" t="s">
        <v>371</v>
      </c>
      <c r="H17" s="98"/>
      <c r="I17" s="22">
        <f>VORN!I24</f>
        <v>0</v>
      </c>
    </row>
    <row r="18" spans="1:9" ht="15" customHeight="1">
      <c r="A18" s="55" t="s">
        <v>217</v>
      </c>
      <c r="B18" s="5" t="s">
        <v>186</v>
      </c>
      <c r="C18" s="28">
        <f>SUM('Stavební rozpočet'!AF12:AF462)</f>
        <v>0</v>
      </c>
      <c r="D18" s="97" t="s">
        <v>469</v>
      </c>
      <c r="E18" s="98"/>
      <c r="F18" s="22" t="s">
        <v>469</v>
      </c>
      <c r="G18" s="97" t="s">
        <v>444</v>
      </c>
      <c r="H18" s="98"/>
      <c r="I18" s="22">
        <f>VORN!I25</f>
        <v>0</v>
      </c>
    </row>
    <row r="19" spans="1:9" ht="15" customHeight="1">
      <c r="A19" s="54" t="s">
        <v>469</v>
      </c>
      <c r="B19" s="5" t="s">
        <v>138</v>
      </c>
      <c r="C19" s="28">
        <f>SUM('Stavební rozpočet'!AG12:AG462)</f>
        <v>0</v>
      </c>
      <c r="D19" s="97" t="s">
        <v>469</v>
      </c>
      <c r="E19" s="98"/>
      <c r="F19" s="22" t="s">
        <v>469</v>
      </c>
      <c r="G19" s="97" t="s">
        <v>658</v>
      </c>
      <c r="H19" s="98"/>
      <c r="I19" s="22">
        <f>VORN!I26</f>
        <v>0</v>
      </c>
    </row>
    <row r="20" spans="1:9" ht="15" customHeight="1">
      <c r="A20" s="91" t="s">
        <v>53</v>
      </c>
      <c r="B20" s="92"/>
      <c r="C20" s="28">
        <f>SUM('Stavební rozpočet'!AH12:AH462)</f>
        <v>0</v>
      </c>
      <c r="D20" s="97" t="s">
        <v>469</v>
      </c>
      <c r="E20" s="98"/>
      <c r="F20" s="22" t="s">
        <v>469</v>
      </c>
      <c r="G20" s="97" t="s">
        <v>469</v>
      </c>
      <c r="H20" s="98"/>
      <c r="I20" s="22" t="s">
        <v>469</v>
      </c>
    </row>
    <row r="21" spans="1:9" ht="15" customHeight="1">
      <c r="A21" s="93" t="s">
        <v>657</v>
      </c>
      <c r="B21" s="94"/>
      <c r="C21" s="39">
        <f>SUM('Stavební rozpočet'!Z12:Z462)</f>
        <v>0</v>
      </c>
      <c r="D21" s="99" t="s">
        <v>469</v>
      </c>
      <c r="E21" s="100"/>
      <c r="F21" s="4" t="s">
        <v>469</v>
      </c>
      <c r="G21" s="99" t="s">
        <v>469</v>
      </c>
      <c r="H21" s="100"/>
      <c r="I21" s="4" t="s">
        <v>469</v>
      </c>
    </row>
    <row r="22" spans="1:9" ht="16.5" customHeight="1">
      <c r="A22" s="95" t="s">
        <v>142</v>
      </c>
      <c r="B22" s="96"/>
      <c r="C22" s="20">
        <f>SUM(C14:C21)</f>
        <v>0</v>
      </c>
      <c r="D22" s="101" t="s">
        <v>361</v>
      </c>
      <c r="E22" s="96"/>
      <c r="F22" s="20">
        <f>SUM(F14:F21)</f>
        <v>0</v>
      </c>
      <c r="G22" s="101" t="s">
        <v>676</v>
      </c>
      <c r="H22" s="96"/>
      <c r="I22" s="20">
        <f>SUM(I14:I21)</f>
        <v>0</v>
      </c>
    </row>
    <row r="23" spans="1:9" ht="15" customHeight="1">
      <c r="D23" s="91" t="s">
        <v>535</v>
      </c>
      <c r="E23" s="92"/>
      <c r="F23" s="33">
        <v>0</v>
      </c>
      <c r="G23" s="102" t="s">
        <v>41</v>
      </c>
      <c r="H23" s="92"/>
      <c r="I23" s="28">
        <v>0</v>
      </c>
    </row>
    <row r="24" spans="1:9" ht="15" customHeight="1">
      <c r="G24" s="91" t="s">
        <v>409</v>
      </c>
      <c r="H24" s="92"/>
      <c r="I24" s="39">
        <f>vorn_sum</f>
        <v>0</v>
      </c>
    </row>
    <row r="25" spans="1:9" ht="15" customHeight="1">
      <c r="G25" s="91" t="s">
        <v>219</v>
      </c>
      <c r="H25" s="92"/>
      <c r="I25" s="20">
        <v>0</v>
      </c>
    </row>
    <row r="27" spans="1:9" ht="15" customHeight="1">
      <c r="A27" s="103" t="s">
        <v>281</v>
      </c>
      <c r="B27" s="104"/>
      <c r="C27" s="3">
        <f>SUM('Stavební rozpočet'!AJ12:AJ462)</f>
        <v>0</v>
      </c>
    </row>
    <row r="28" spans="1:9" ht="15" customHeight="1">
      <c r="A28" s="105" t="s">
        <v>560</v>
      </c>
      <c r="B28" s="106"/>
      <c r="C28" s="42">
        <f>SUM('Stavební rozpočet'!AK12:AK462)+(F22+I22+F23+I23+I24+I25)</f>
        <v>0</v>
      </c>
      <c r="D28" s="104" t="s">
        <v>644</v>
      </c>
      <c r="E28" s="104"/>
      <c r="F28" s="3">
        <f>ROUND(C28*(12/100),2)</f>
        <v>0</v>
      </c>
      <c r="G28" s="104" t="s">
        <v>113</v>
      </c>
      <c r="H28" s="104"/>
      <c r="I28" s="3">
        <f>SUM(C27:C29)</f>
        <v>0</v>
      </c>
    </row>
    <row r="29" spans="1:9" ht="15" customHeight="1">
      <c r="A29" s="105" t="s">
        <v>35</v>
      </c>
      <c r="B29" s="106"/>
      <c r="C29" s="42">
        <f>SUM('Stavební rozpočet'!AL12:AL462)</f>
        <v>0</v>
      </c>
      <c r="D29" s="106" t="s">
        <v>509</v>
      </c>
      <c r="E29" s="106"/>
      <c r="F29" s="42">
        <f>ROUND(C29*(21/100),2)</f>
        <v>0</v>
      </c>
      <c r="G29" s="106" t="s">
        <v>277</v>
      </c>
      <c r="H29" s="106"/>
      <c r="I29" s="42">
        <f>SUM(F28:F29)+I28</f>
        <v>0</v>
      </c>
    </row>
    <row r="31" spans="1:9" ht="15" customHeight="1">
      <c r="A31" s="107" t="s">
        <v>9</v>
      </c>
      <c r="B31" s="108"/>
      <c r="C31" s="109"/>
      <c r="D31" s="108" t="s">
        <v>626</v>
      </c>
      <c r="E31" s="108"/>
      <c r="F31" s="109"/>
      <c r="G31" s="108" t="s">
        <v>460</v>
      </c>
      <c r="H31" s="108"/>
      <c r="I31" s="109"/>
    </row>
    <row r="32" spans="1:9" ht="15" customHeight="1">
      <c r="A32" s="110" t="s">
        <v>469</v>
      </c>
      <c r="B32" s="99"/>
      <c r="C32" s="111"/>
      <c r="D32" s="99" t="s">
        <v>469</v>
      </c>
      <c r="E32" s="99"/>
      <c r="F32" s="111"/>
      <c r="G32" s="99" t="s">
        <v>469</v>
      </c>
      <c r="H32" s="99"/>
      <c r="I32" s="111"/>
    </row>
    <row r="33" spans="1:9" ht="15" customHeight="1">
      <c r="A33" s="110" t="s">
        <v>469</v>
      </c>
      <c r="B33" s="99"/>
      <c r="C33" s="111"/>
      <c r="D33" s="99" t="s">
        <v>469</v>
      </c>
      <c r="E33" s="99"/>
      <c r="F33" s="111"/>
      <c r="G33" s="99" t="s">
        <v>469</v>
      </c>
      <c r="H33" s="99"/>
      <c r="I33" s="111"/>
    </row>
    <row r="34" spans="1:9" ht="15" customHeight="1">
      <c r="A34" s="110" t="s">
        <v>469</v>
      </c>
      <c r="B34" s="99"/>
      <c r="C34" s="111"/>
      <c r="D34" s="99" t="s">
        <v>469</v>
      </c>
      <c r="E34" s="99"/>
      <c r="F34" s="111"/>
      <c r="G34" s="99" t="s">
        <v>469</v>
      </c>
      <c r="H34" s="99"/>
      <c r="I34" s="111"/>
    </row>
    <row r="35" spans="1:9" ht="15" customHeight="1">
      <c r="A35" s="112" t="s">
        <v>140</v>
      </c>
      <c r="B35" s="113"/>
      <c r="C35" s="114"/>
      <c r="D35" s="113" t="s">
        <v>140</v>
      </c>
      <c r="E35" s="113"/>
      <c r="F35" s="114"/>
      <c r="G35" s="113" t="s">
        <v>140</v>
      </c>
      <c r="H35" s="113"/>
      <c r="I35" s="114"/>
    </row>
    <row r="36" spans="1:9" ht="15" customHeight="1">
      <c r="A36" s="27" t="s">
        <v>68</v>
      </c>
    </row>
    <row r="37" spans="1:9" ht="12.75" customHeight="1">
      <c r="A37" s="66" t="s">
        <v>469</v>
      </c>
      <c r="B37" s="63"/>
      <c r="C37" s="63"/>
      <c r="D37" s="63"/>
      <c r="E37" s="63"/>
      <c r="F37" s="63"/>
      <c r="G37" s="63"/>
      <c r="H37" s="63"/>
      <c r="I37" s="63"/>
    </row>
  </sheetData>
  <mergeCells count="83">
    <mergeCell ref="G31:I31"/>
    <mergeCell ref="G32:I32"/>
    <mergeCell ref="G33:I33"/>
    <mergeCell ref="G34:I34"/>
    <mergeCell ref="G35:I35"/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A27:B27"/>
    <mergeCell ref="A28:B28"/>
    <mergeCell ref="A29:B29"/>
    <mergeCell ref="D28:E28"/>
    <mergeCell ref="D29:E29"/>
    <mergeCell ref="G28:H28"/>
    <mergeCell ref="G29:H29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D18:E18"/>
    <mergeCell ref="D19:E19"/>
    <mergeCell ref="D20:E20"/>
    <mergeCell ref="D21:E21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I2:I3"/>
    <mergeCell ref="I4:I5"/>
    <mergeCell ref="I6:I7"/>
    <mergeCell ref="I8:I9"/>
    <mergeCell ref="I10:I11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I36"/>
  <sheetViews>
    <sheetView showOutlineSymbols="0" workbookViewId="0">
      <selection activeCell="A36" sqref="A36:E36"/>
    </sheetView>
  </sheetViews>
  <sheetFormatPr defaultColWidth="14.1640625" defaultRowHeight="15" customHeight="1"/>
  <cols>
    <col min="1" max="1" width="10.6640625"/>
    <col min="2" max="2" width="15"/>
    <col min="3" max="3" width="26.6640625"/>
    <col min="4" max="4" width="11.6640625"/>
    <col min="5" max="5" width="16.33203125"/>
    <col min="6" max="6" width="26.6640625"/>
    <col min="7" max="7" width="10.6640625"/>
    <col min="8" max="8" width="20"/>
    <col min="9" max="9" width="26.6640625"/>
  </cols>
  <sheetData>
    <row r="1" spans="1:9" ht="54.75" customHeight="1">
      <c r="A1" s="83" t="s">
        <v>114</v>
      </c>
      <c r="B1" s="59"/>
      <c r="C1" s="59"/>
      <c r="D1" s="59"/>
      <c r="E1" s="59"/>
      <c r="F1" s="59"/>
      <c r="G1" s="59"/>
      <c r="H1" s="59"/>
      <c r="I1" s="59"/>
    </row>
    <row r="2" spans="1:9" ht="15" customHeight="1">
      <c r="A2" s="60" t="s">
        <v>52</v>
      </c>
      <c r="B2" s="61"/>
      <c r="C2" s="67" t="str">
        <f>'Stavební rozpočet'!C2</f>
        <v>BYTOVÝ DŮM - ZATEPLENÍ A VÝMĚNA VÝPLNÍ</v>
      </c>
      <c r="D2" s="68"/>
      <c r="E2" s="65" t="s">
        <v>565</v>
      </c>
      <c r="F2" s="65" t="str">
        <f>'Stavební rozpočet'!I2</f>
        <v>Obec Louka u Litvínova</v>
      </c>
      <c r="G2" s="61"/>
      <c r="H2" s="65" t="s">
        <v>442</v>
      </c>
      <c r="I2" s="70" t="s">
        <v>469</v>
      </c>
    </row>
    <row r="3" spans="1:9" ht="15" customHeight="1">
      <c r="A3" s="62"/>
      <c r="B3" s="63"/>
      <c r="C3" s="69"/>
      <c r="D3" s="69"/>
      <c r="E3" s="63"/>
      <c r="F3" s="63"/>
      <c r="G3" s="63"/>
      <c r="H3" s="63"/>
      <c r="I3" s="71"/>
    </row>
    <row r="4" spans="1:9" ht="15" customHeight="1">
      <c r="A4" s="64" t="s">
        <v>376</v>
      </c>
      <c r="B4" s="63"/>
      <c r="C4" s="66" t="str">
        <f>'Stavební rozpočet'!C4</f>
        <v>D.1.1.    ARCHITEKTONICKO-STAVEBNÍ ŘEŠENÍ</v>
      </c>
      <c r="D4" s="63"/>
      <c r="E4" s="66" t="s">
        <v>466</v>
      </c>
      <c r="F4" s="66" t="str">
        <f>'Stavební rozpočet'!I4</f>
        <v>CHEMINVEST  s.r.o.</v>
      </c>
      <c r="G4" s="63"/>
      <c r="H4" s="66" t="s">
        <v>442</v>
      </c>
      <c r="I4" s="71" t="s">
        <v>469</v>
      </c>
    </row>
    <row r="5" spans="1:9" ht="15" customHeight="1">
      <c r="A5" s="62"/>
      <c r="B5" s="63"/>
      <c r="C5" s="63"/>
      <c r="D5" s="63"/>
      <c r="E5" s="63"/>
      <c r="F5" s="63"/>
      <c r="G5" s="63"/>
      <c r="H5" s="63"/>
      <c r="I5" s="71"/>
    </row>
    <row r="6" spans="1:9" ht="15" customHeight="1">
      <c r="A6" s="64" t="s">
        <v>70</v>
      </c>
      <c r="B6" s="63"/>
      <c r="C6" s="66" t="str">
        <f>'Stavební rozpočet'!C6</f>
        <v>HUSOVA čp. 89, 43533 LOUKA U LITVÍNOVA</v>
      </c>
      <c r="D6" s="63"/>
      <c r="E6" s="66" t="s">
        <v>582</v>
      </c>
      <c r="F6" s="66" t="str">
        <f>'Stavební rozpočet'!I6</f>
        <v> </v>
      </c>
      <c r="G6" s="63"/>
      <c r="H6" s="66" t="s">
        <v>442</v>
      </c>
      <c r="I6" s="71" t="s">
        <v>469</v>
      </c>
    </row>
    <row r="7" spans="1:9" ht="15" customHeight="1">
      <c r="A7" s="62"/>
      <c r="B7" s="63"/>
      <c r="C7" s="63"/>
      <c r="D7" s="63"/>
      <c r="E7" s="63"/>
      <c r="F7" s="63"/>
      <c r="G7" s="63"/>
      <c r="H7" s="63"/>
      <c r="I7" s="71"/>
    </row>
    <row r="8" spans="1:9" ht="15" customHeight="1">
      <c r="A8" s="64" t="s">
        <v>593</v>
      </c>
      <c r="B8" s="63"/>
      <c r="C8" s="66" t="str">
        <f>'Stavební rozpočet'!G4</f>
        <v xml:space="preserve"> </v>
      </c>
      <c r="D8" s="63"/>
      <c r="E8" s="66" t="s">
        <v>226</v>
      </c>
      <c r="F8" s="66" t="str">
        <f>'Stavební rozpočet'!G6</f>
        <v xml:space="preserve"> </v>
      </c>
      <c r="G8" s="63"/>
      <c r="H8" s="63" t="s">
        <v>674</v>
      </c>
      <c r="I8" s="85">
        <v>117</v>
      </c>
    </row>
    <row r="9" spans="1:9" ht="15" customHeight="1">
      <c r="A9" s="62"/>
      <c r="B9" s="63"/>
      <c r="C9" s="63"/>
      <c r="D9" s="63"/>
      <c r="E9" s="63"/>
      <c r="F9" s="63"/>
      <c r="G9" s="63"/>
      <c r="H9" s="63"/>
      <c r="I9" s="71"/>
    </row>
    <row r="10" spans="1:9" ht="15" customHeight="1">
      <c r="A10" s="64" t="s">
        <v>337</v>
      </c>
      <c r="B10" s="63"/>
      <c r="C10" s="66" t="str">
        <f>'Stavební rozpočet'!C8</f>
        <v xml:space="preserve"> </v>
      </c>
      <c r="D10" s="63"/>
      <c r="E10" s="66" t="s">
        <v>452</v>
      </c>
      <c r="F10" s="66" t="str">
        <f>'Stavební rozpočet'!I8</f>
        <v>Kamila Možná</v>
      </c>
      <c r="G10" s="63"/>
      <c r="H10" s="63" t="s">
        <v>647</v>
      </c>
      <c r="I10" s="86" t="str">
        <f>'Stavební rozpočet'!G8</f>
        <v>14.11.2023</v>
      </c>
    </row>
    <row r="11" spans="1:9" ht="15" customHeight="1">
      <c r="A11" s="84"/>
      <c r="B11" s="82"/>
      <c r="C11" s="82"/>
      <c r="D11" s="82"/>
      <c r="E11" s="82"/>
      <c r="F11" s="82"/>
      <c r="G11" s="82"/>
      <c r="H11" s="82"/>
      <c r="I11" s="87"/>
    </row>
    <row r="13" spans="1:9" ht="15.75" customHeight="1">
      <c r="A13" s="115" t="s">
        <v>262</v>
      </c>
      <c r="B13" s="115"/>
      <c r="C13" s="115"/>
      <c r="D13" s="115"/>
      <c r="E13" s="115"/>
    </row>
    <row r="14" spans="1:9" ht="15" customHeight="1">
      <c r="A14" s="116" t="s">
        <v>748</v>
      </c>
      <c r="B14" s="117"/>
      <c r="C14" s="117"/>
      <c r="D14" s="117"/>
      <c r="E14" s="118"/>
      <c r="F14" s="47" t="s">
        <v>697</v>
      </c>
      <c r="G14" s="47" t="s">
        <v>585</v>
      </c>
      <c r="H14" s="47" t="s">
        <v>180</v>
      </c>
      <c r="I14" s="47" t="s">
        <v>697</v>
      </c>
    </row>
    <row r="15" spans="1:9" ht="15" customHeight="1">
      <c r="A15" s="84" t="s">
        <v>488</v>
      </c>
      <c r="B15" s="82"/>
      <c r="C15" s="82"/>
      <c r="D15" s="82"/>
      <c r="E15" s="87"/>
      <c r="F15" s="2">
        <v>0</v>
      </c>
      <c r="G15" s="31" t="s">
        <v>469</v>
      </c>
      <c r="H15" s="31" t="s">
        <v>469</v>
      </c>
      <c r="I15" s="2">
        <f>F15</f>
        <v>0</v>
      </c>
    </row>
    <row r="16" spans="1:9" ht="15" customHeight="1">
      <c r="A16" s="84" t="s">
        <v>77</v>
      </c>
      <c r="B16" s="82"/>
      <c r="C16" s="82"/>
      <c r="D16" s="82"/>
      <c r="E16" s="87"/>
      <c r="F16" s="2">
        <v>0</v>
      </c>
      <c r="G16" s="31" t="s">
        <v>469</v>
      </c>
      <c r="H16" s="31" t="s">
        <v>469</v>
      </c>
      <c r="I16" s="2">
        <f>F16</f>
        <v>0</v>
      </c>
    </row>
    <row r="17" spans="1:9" ht="15" customHeight="1">
      <c r="A17" s="62" t="s">
        <v>501</v>
      </c>
      <c r="B17" s="63"/>
      <c r="C17" s="63"/>
      <c r="D17" s="63"/>
      <c r="E17" s="71"/>
      <c r="F17" s="35">
        <v>0</v>
      </c>
      <c r="G17" s="21" t="s">
        <v>469</v>
      </c>
      <c r="H17" s="21" t="s">
        <v>469</v>
      </c>
      <c r="I17" s="35">
        <f>F17</f>
        <v>0</v>
      </c>
    </row>
    <row r="18" spans="1:9" ht="15" customHeight="1">
      <c r="A18" s="119" t="s">
        <v>718</v>
      </c>
      <c r="B18" s="120"/>
      <c r="C18" s="120"/>
      <c r="D18" s="120"/>
      <c r="E18" s="121"/>
      <c r="F18" s="43" t="s">
        <v>469</v>
      </c>
      <c r="G18" s="10" t="s">
        <v>469</v>
      </c>
      <c r="H18" s="10" t="s">
        <v>469</v>
      </c>
      <c r="I18" s="45">
        <f>SUM(I15:I17)</f>
        <v>0</v>
      </c>
    </row>
    <row r="20" spans="1:9" ht="15" customHeight="1">
      <c r="A20" s="116" t="s">
        <v>131</v>
      </c>
      <c r="B20" s="117"/>
      <c r="C20" s="117"/>
      <c r="D20" s="117"/>
      <c r="E20" s="118"/>
      <c r="F20" s="47" t="s">
        <v>697</v>
      </c>
      <c r="G20" s="47" t="s">
        <v>585</v>
      </c>
      <c r="H20" s="47" t="s">
        <v>180</v>
      </c>
      <c r="I20" s="47" t="s">
        <v>697</v>
      </c>
    </row>
    <row r="21" spans="1:9" ht="15" customHeight="1">
      <c r="A21" s="84" t="s">
        <v>80</v>
      </c>
      <c r="B21" s="82"/>
      <c r="C21" s="82"/>
      <c r="D21" s="82"/>
      <c r="E21" s="87"/>
      <c r="F21" s="2">
        <v>0</v>
      </c>
      <c r="G21" s="31" t="s">
        <v>469</v>
      </c>
      <c r="H21" s="31" t="s">
        <v>469</v>
      </c>
      <c r="I21" s="2">
        <f t="shared" ref="I21:I26" si="0">F21</f>
        <v>0</v>
      </c>
    </row>
    <row r="22" spans="1:9" ht="15" customHeight="1">
      <c r="A22" s="84" t="s">
        <v>532</v>
      </c>
      <c r="B22" s="82"/>
      <c r="C22" s="82"/>
      <c r="D22" s="82"/>
      <c r="E22" s="87"/>
      <c r="F22" s="2">
        <v>0</v>
      </c>
      <c r="G22" s="31" t="s">
        <v>469</v>
      </c>
      <c r="H22" s="31" t="s">
        <v>469</v>
      </c>
      <c r="I22" s="2">
        <f t="shared" si="0"/>
        <v>0</v>
      </c>
    </row>
    <row r="23" spans="1:9" ht="15" customHeight="1">
      <c r="A23" s="84" t="s">
        <v>641</v>
      </c>
      <c r="B23" s="82"/>
      <c r="C23" s="82"/>
      <c r="D23" s="82"/>
      <c r="E23" s="87"/>
      <c r="F23" s="2">
        <v>0</v>
      </c>
      <c r="G23" s="31" t="s">
        <v>469</v>
      </c>
      <c r="H23" s="31" t="s">
        <v>469</v>
      </c>
      <c r="I23" s="2">
        <f t="shared" si="0"/>
        <v>0</v>
      </c>
    </row>
    <row r="24" spans="1:9" ht="15" customHeight="1">
      <c r="A24" s="84" t="s">
        <v>371</v>
      </c>
      <c r="B24" s="82"/>
      <c r="C24" s="82"/>
      <c r="D24" s="82"/>
      <c r="E24" s="87"/>
      <c r="F24" s="2">
        <v>0</v>
      </c>
      <c r="G24" s="31" t="s">
        <v>469</v>
      </c>
      <c r="H24" s="31" t="s">
        <v>469</v>
      </c>
      <c r="I24" s="2">
        <f t="shared" si="0"/>
        <v>0</v>
      </c>
    </row>
    <row r="25" spans="1:9" ht="15" customHeight="1">
      <c r="A25" s="84" t="s">
        <v>444</v>
      </c>
      <c r="B25" s="82"/>
      <c r="C25" s="82"/>
      <c r="D25" s="82"/>
      <c r="E25" s="87"/>
      <c r="F25" s="2">
        <v>0</v>
      </c>
      <c r="G25" s="31" t="s">
        <v>469</v>
      </c>
      <c r="H25" s="31" t="s">
        <v>469</v>
      </c>
      <c r="I25" s="2">
        <f t="shared" si="0"/>
        <v>0</v>
      </c>
    </row>
    <row r="26" spans="1:9" ht="15" customHeight="1">
      <c r="A26" s="62" t="s">
        <v>658</v>
      </c>
      <c r="B26" s="63"/>
      <c r="C26" s="63"/>
      <c r="D26" s="63"/>
      <c r="E26" s="71"/>
      <c r="F26" s="35">
        <v>0</v>
      </c>
      <c r="G26" s="21" t="s">
        <v>469</v>
      </c>
      <c r="H26" s="21" t="s">
        <v>469</v>
      </c>
      <c r="I26" s="35">
        <f t="shared" si="0"/>
        <v>0</v>
      </c>
    </row>
    <row r="27" spans="1:9" ht="15" customHeight="1">
      <c r="A27" s="119" t="s">
        <v>278</v>
      </c>
      <c r="B27" s="120"/>
      <c r="C27" s="120"/>
      <c r="D27" s="120"/>
      <c r="E27" s="121"/>
      <c r="F27" s="43" t="s">
        <v>469</v>
      </c>
      <c r="G27" s="10" t="s">
        <v>469</v>
      </c>
      <c r="H27" s="10" t="s">
        <v>469</v>
      </c>
      <c r="I27" s="45">
        <f>SUM(I21:I26)</f>
        <v>0</v>
      </c>
    </row>
    <row r="29" spans="1:9" ht="15.75" customHeight="1">
      <c r="A29" s="122" t="s">
        <v>701</v>
      </c>
      <c r="B29" s="123"/>
      <c r="C29" s="123"/>
      <c r="D29" s="123"/>
      <c r="E29" s="124"/>
      <c r="F29" s="125">
        <f>I18+I27</f>
        <v>0</v>
      </c>
      <c r="G29" s="126"/>
      <c r="H29" s="126"/>
      <c r="I29" s="127"/>
    </row>
    <row r="33" spans="1:9" ht="15.75" customHeight="1">
      <c r="A33" s="115" t="s">
        <v>690</v>
      </c>
      <c r="B33" s="115"/>
      <c r="C33" s="115"/>
      <c r="D33" s="115"/>
      <c r="E33" s="115"/>
    </row>
    <row r="34" spans="1:9" ht="15" customHeight="1">
      <c r="A34" s="116" t="s">
        <v>717</v>
      </c>
      <c r="B34" s="117"/>
      <c r="C34" s="117"/>
      <c r="D34" s="117"/>
      <c r="E34" s="118"/>
      <c r="F34" s="47" t="s">
        <v>697</v>
      </c>
      <c r="G34" s="47" t="s">
        <v>585</v>
      </c>
      <c r="H34" s="47" t="s">
        <v>180</v>
      </c>
      <c r="I34" s="47" t="s">
        <v>697</v>
      </c>
    </row>
    <row r="35" spans="1:9" ht="15" customHeight="1">
      <c r="A35" s="62" t="s">
        <v>469</v>
      </c>
      <c r="B35" s="63"/>
      <c r="C35" s="63"/>
      <c r="D35" s="63"/>
      <c r="E35" s="71"/>
      <c r="F35" s="35">
        <v>0</v>
      </c>
      <c r="G35" s="21" t="s">
        <v>469</v>
      </c>
      <c r="H35" s="21" t="s">
        <v>469</v>
      </c>
      <c r="I35" s="35">
        <f>F35</f>
        <v>0</v>
      </c>
    </row>
    <row r="36" spans="1:9" ht="15" customHeight="1">
      <c r="A36" s="119" t="s">
        <v>252</v>
      </c>
      <c r="B36" s="120"/>
      <c r="C36" s="120"/>
      <c r="D36" s="120"/>
      <c r="E36" s="121"/>
      <c r="F36" s="43" t="s">
        <v>469</v>
      </c>
      <c r="G36" s="10" t="s">
        <v>469</v>
      </c>
      <c r="H36" s="10" t="s">
        <v>469</v>
      </c>
      <c r="I36" s="45">
        <f>SUM(I35:I35)</f>
        <v>0</v>
      </c>
    </row>
  </sheetData>
  <mergeCells count="51">
    <mergeCell ref="A36:E36"/>
    <mergeCell ref="A27:E27"/>
    <mergeCell ref="A29:E29"/>
    <mergeCell ref="F29:I29"/>
    <mergeCell ref="A33:E33"/>
    <mergeCell ref="A34:E34"/>
    <mergeCell ref="A35:E35"/>
    <mergeCell ref="A21:E21"/>
    <mergeCell ref="A22:E22"/>
    <mergeCell ref="A23:E23"/>
    <mergeCell ref="A24:E24"/>
    <mergeCell ref="A25:E25"/>
    <mergeCell ref="A26:E26"/>
    <mergeCell ref="A14:E14"/>
    <mergeCell ref="A15:E15"/>
    <mergeCell ref="A16:E16"/>
    <mergeCell ref="A17:E17"/>
    <mergeCell ref="A18:E18"/>
    <mergeCell ref="A20:E20"/>
    <mergeCell ref="I2:I3"/>
    <mergeCell ref="I4:I5"/>
    <mergeCell ref="I6:I7"/>
    <mergeCell ref="I8:I9"/>
    <mergeCell ref="I10:I11"/>
    <mergeCell ref="A13:E13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E10:E11"/>
    <mergeCell ref="H2:H3"/>
    <mergeCell ref="H4:H5"/>
    <mergeCell ref="H6:H7"/>
    <mergeCell ref="H8:H9"/>
    <mergeCell ref="H10:H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Kamila</cp:lastModifiedBy>
  <dcterms:created xsi:type="dcterms:W3CDTF">2021-06-10T20:06:38Z</dcterms:created>
  <dcterms:modified xsi:type="dcterms:W3CDTF">2024-02-20T10:32:34Z</dcterms:modified>
</cp:coreProperties>
</file>